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FASCICOLO\2026\00_Dati Finanziari x Investor Relations\03_2026\"/>
    </mc:Choice>
  </mc:AlternateContent>
  <xr:revisionPtr revIDLastSave="0" documentId="13_ncr:1_{82E0C468-3E87-4015-9CEE-02BCAAA1A141}" xr6:coauthVersionLast="47" xr6:coauthVersionMax="47" xr10:uidLastSave="{00000000-0000-0000-0000-000000000000}"/>
  <bookViews>
    <workbookView xWindow="-120" yWindow="-120" windowWidth="29040" windowHeight="15720" tabRatio="927" xr2:uid="{00000000-000D-0000-FFFF-FFFF00000000}"/>
  </bookViews>
  <sheets>
    <sheet name="DISCLAIMER" sheetId="17" r:id="rId1"/>
    <sheet name="SP_riclassificato" sheetId="12" r:id="rId2"/>
    <sheet name="CE_riclassificato" sheetId="13" r:id="rId3"/>
    <sheet name="CE_ricl_TRIM" sheetId="16" r:id="rId4"/>
    <sheet name="BANCA CARIGE CE TRIM" sheetId="18" state="hidden" r:id="rId5"/>
    <sheet name="SP_IFRS9_BANKIT" sheetId="9" r:id="rId6"/>
    <sheet name="CE_IFRS_9_BANKIT" sheetId="10" r:id="rId7"/>
    <sheet name="CE_PROFORMA_IAS39" sheetId="15" state="hidden" r:id="rId8"/>
    <sheet name="CE_PROFORMA_IAS39_TRIM" sheetId="14" state="hidden" r:id="rId9"/>
    <sheet name="Asset Quality" sheetId="8" r:id="rId10"/>
    <sheet name="TRANSIZIONE IFRS9" sheetId="11" state="hidden" r:id="rId11"/>
    <sheet name="SP 2008 - 2017" sheetId="4" state="hidden" r:id="rId12"/>
    <sheet name="CE 2008 - 2017" sheetId="1" state="hidden" r:id="rId13"/>
    <sheet name="CE TRIM 2008 - 2017" sheetId="5" state="hidden" r:id="rId14"/>
    <sheet name="CE RICL 2013 - 2017" sheetId="6" state="hidden" r:id="rId15"/>
  </sheets>
  <externalReferences>
    <externalReference r:id="rId16"/>
  </externalReferences>
  <definedNames>
    <definedName name="_AMO_UniqueIdentifier" hidden="1">"'8a5eac50-729b-4520-935f-513529f05d2c'"</definedName>
    <definedName name="_xlnm._FilterDatabase" localSheetId="11" hidden="1">'SP 2008 - 2017'!$AL$29:$AO$29</definedName>
    <definedName name="_xlnm._FilterDatabase" localSheetId="5" hidden="1">SP_IFRS9_BANKIT!#REF!</definedName>
    <definedName name="_Order1" hidden="1">255</definedName>
    <definedName name="_Order2" hidden="1">0</definedName>
    <definedName name="_Sort" localSheetId="7" hidden="1">#REF!</definedName>
    <definedName name="_Sort" localSheetId="3" hidden="1">#REF!</definedName>
    <definedName name="_Sort" localSheetId="10" hidden="1">#REF!</definedName>
    <definedName name="_Sort" hidden="1">#REF!</definedName>
    <definedName name="_xlnm.Print_Area" localSheetId="9">'Asset Quality'!$A$1:$AU$61</definedName>
    <definedName name="_xlnm.Print_Area" localSheetId="4">#REF!</definedName>
    <definedName name="_xlnm.Print_Area" localSheetId="13">'CE TRIM 2008 - 2017'!$A$2:$BI$47</definedName>
    <definedName name="_xlnm.Print_Area" localSheetId="6">#REF!</definedName>
    <definedName name="_xlnm.Print_Area" localSheetId="3">#REF!</definedName>
    <definedName name="_xlnm.Print_Area" localSheetId="11">'SP 2008 - 2017'!$A$1:$AH$55</definedName>
    <definedName name="_xlnm.Print_Area" localSheetId="5">SP_IFRS9_BANKIT!#REF!</definedName>
    <definedName name="_xlnm.Print_Area">#REF!</definedName>
    <definedName name="Attivo_IFRS9">'TRANSIZIONE IFRS9'!$A$5:$E$29</definedName>
    <definedName name="ceco_ricl">CE_PROFORMA_IAS39!$A$9:$H$36</definedName>
    <definedName name="niagg">[1]DB!$BB$3</definedName>
    <definedName name="niinf">[1]DB!$BE$3</definedName>
    <definedName name="OLE_LINK3" localSheetId="13">'CE TRIM 2008 - 2017'!#REF!</definedName>
    <definedName name="OLE_LINK3" localSheetId="11">'SP 2008 - 2017'!$A$27</definedName>
    <definedName name="OLE_LINK3" localSheetId="5">SP_IFRS9_BANKIT!#REF!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7" i="13" l="1"/>
  <c r="E36" i="13"/>
  <c r="F36" i="13" s="1"/>
  <c r="F37" i="13"/>
  <c r="D51" i="12"/>
  <c r="E51" i="12"/>
  <c r="CG10" i="8"/>
  <c r="E40" i="13"/>
  <c r="F40" i="13" s="1"/>
  <c r="E39" i="13"/>
  <c r="F39" i="13" s="1"/>
  <c r="J35" i="12" l="1"/>
  <c r="J25" i="12"/>
  <c r="K35" i="12" l="1"/>
  <c r="E34" i="13" l="1"/>
  <c r="E32" i="13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L35" i="12"/>
  <c r="D32" i="12" l="1"/>
  <c r="D31" i="12"/>
  <c r="N35" i="12" l="1"/>
  <c r="N24" i="12"/>
  <c r="R12" i="16"/>
  <c r="V12" i="13"/>
  <c r="E42" i="13" l="1"/>
  <c r="F42" i="13" s="1"/>
  <c r="E35" i="13"/>
  <c r="F35" i="13" s="1"/>
  <c r="F33" i="13"/>
  <c r="E33" i="13"/>
  <c r="F32" i="13"/>
  <c r="E31" i="13"/>
  <c r="F31" i="13" s="1"/>
  <c r="F29" i="13"/>
  <c r="F28" i="13"/>
  <c r="F27" i="13"/>
  <c r="F26" i="13"/>
  <c r="F25" i="13"/>
  <c r="F23" i="13"/>
  <c r="F22" i="13"/>
  <c r="F21" i="13"/>
  <c r="F20" i="13"/>
  <c r="F18" i="13"/>
  <c r="F17" i="13"/>
  <c r="F16" i="13"/>
  <c r="F15" i="13"/>
  <c r="F14" i="13"/>
  <c r="F13" i="13"/>
  <c r="O35" i="12"/>
  <c r="P35" i="12"/>
  <c r="F19" i="13" l="1"/>
  <c r="F30" i="13"/>
  <c r="F24" i="13"/>
  <c r="D26" i="12" l="1"/>
  <c r="E26" i="12" s="1"/>
  <c r="D25" i="12"/>
  <c r="D24" i="12"/>
  <c r="E24" i="12" s="1"/>
  <c r="F34" i="13" l="1"/>
  <c r="E38" i="13"/>
  <c r="F38" i="13" s="1"/>
  <c r="D36" i="12"/>
  <c r="E36" i="12" s="1"/>
  <c r="D40" i="12"/>
  <c r="E40" i="12" s="1"/>
  <c r="D41" i="12"/>
  <c r="E41" i="12" s="1"/>
  <c r="D42" i="12"/>
  <c r="E42" i="12" s="1"/>
  <c r="D43" i="12"/>
  <c r="E43" i="12" s="1"/>
  <c r="D44" i="12"/>
  <c r="E44" i="12" s="1"/>
  <c r="E43" i="13" l="1"/>
  <c r="F43" i="13" s="1"/>
  <c r="E41" i="13"/>
  <c r="F41" i="13" s="1"/>
  <c r="AD60" i="10"/>
  <c r="AD59" i="10"/>
  <c r="AD58" i="10"/>
  <c r="AD57" i="10"/>
  <c r="AD56" i="10"/>
  <c r="AD55" i="10"/>
  <c r="AD54" i="10"/>
  <c r="AD53" i="10"/>
  <c r="AD52" i="10"/>
  <c r="AD51" i="10"/>
  <c r="AD50" i="10"/>
  <c r="AD49" i="10"/>
  <c r="AD48" i="10"/>
  <c r="AD47" i="10"/>
  <c r="AD46" i="10"/>
  <c r="AD45" i="10"/>
  <c r="AD44" i="10"/>
  <c r="AD43" i="10"/>
  <c r="AD42" i="10"/>
  <c r="AD41" i="10"/>
  <c r="AD40" i="10"/>
  <c r="AD39" i="10"/>
  <c r="AD38" i="10"/>
  <c r="AD37" i="10"/>
  <c r="AD36" i="10"/>
  <c r="AD35" i="10"/>
  <c r="AD34" i="10"/>
  <c r="AD33" i="10"/>
  <c r="AD32" i="10"/>
  <c r="AD31" i="10"/>
  <c r="AD30" i="10"/>
  <c r="AD29" i="10"/>
  <c r="AD28" i="10"/>
  <c r="AD27" i="10"/>
  <c r="AD26" i="10"/>
  <c r="AD25" i="10"/>
  <c r="AD24" i="10"/>
  <c r="AD23" i="10"/>
  <c r="AD22" i="10"/>
  <c r="AD21" i="10"/>
  <c r="AD20" i="10"/>
  <c r="AD19" i="10"/>
  <c r="AD18" i="10"/>
  <c r="AD17" i="10"/>
  <c r="AD16" i="10"/>
  <c r="AD15" i="10"/>
  <c r="AD13" i="10"/>
  <c r="D35" i="12" l="1"/>
  <c r="D56" i="12"/>
  <c r="E56" i="12" s="1"/>
  <c r="D55" i="12"/>
  <c r="E55" i="12" s="1"/>
  <c r="D54" i="12"/>
  <c r="E54" i="12" s="1"/>
  <c r="D53" i="12"/>
  <c r="E53" i="12" s="1"/>
  <c r="D52" i="12"/>
  <c r="E52" i="12" s="1"/>
  <c r="D50" i="12"/>
  <c r="E50" i="12" s="1"/>
  <c r="D49" i="12"/>
  <c r="E49" i="12" s="1"/>
  <c r="D48" i="12"/>
  <c r="E48" i="12" s="1"/>
  <c r="D47" i="12"/>
  <c r="E47" i="12" s="1"/>
  <c r="D46" i="12"/>
  <c r="E46" i="12" s="1"/>
  <c r="D45" i="12"/>
  <c r="E45" i="12" s="1"/>
  <c r="D39" i="12"/>
  <c r="E39" i="12" s="1"/>
  <c r="D38" i="12"/>
  <c r="E38" i="12" s="1"/>
  <c r="D37" i="12"/>
  <c r="E37" i="12" s="1"/>
  <c r="E32" i="12"/>
  <c r="E31" i="12"/>
  <c r="D30" i="12"/>
  <c r="E30" i="12" s="1"/>
  <c r="D29" i="12"/>
  <c r="E29" i="12" s="1"/>
  <c r="D28" i="12"/>
  <c r="E28" i="12" s="1"/>
  <c r="D27" i="12"/>
  <c r="E27" i="12" s="1"/>
  <c r="E25" i="12"/>
  <c r="D23" i="12"/>
  <c r="E23" i="12" s="1"/>
  <c r="D22" i="12"/>
  <c r="E22" i="12" s="1"/>
  <c r="D21" i="12"/>
  <c r="E21" i="12" s="1"/>
  <c r="D20" i="12"/>
  <c r="E20" i="12" s="1"/>
  <c r="D19" i="12"/>
  <c r="E19" i="12" s="1"/>
  <c r="D18" i="12"/>
  <c r="E18" i="12" s="1"/>
  <c r="D17" i="12"/>
  <c r="E17" i="12" s="1"/>
  <c r="D16" i="12"/>
  <c r="E16" i="12" s="1"/>
  <c r="D15" i="12"/>
  <c r="E15" i="12" s="1"/>
  <c r="D14" i="12"/>
  <c r="E14" i="12" s="1"/>
  <c r="D13" i="12"/>
  <c r="E13" i="12" s="1"/>
  <c r="D12" i="12"/>
  <c r="E12" i="12" s="1"/>
  <c r="D11" i="12"/>
  <c r="E11" i="12" s="1"/>
  <c r="AO60" i="10" l="1"/>
  <c r="AO59" i="10"/>
  <c r="AO58" i="10"/>
  <c r="AO57" i="10"/>
  <c r="AO56" i="10"/>
  <c r="AO55" i="10"/>
  <c r="AO54" i="10"/>
  <c r="AO53" i="10"/>
  <c r="AO51" i="10"/>
  <c r="AO50" i="10"/>
  <c r="AO49" i="10"/>
  <c r="AO48" i="10"/>
  <c r="AO47" i="10"/>
  <c r="AO46" i="10"/>
  <c r="AO45" i="10"/>
  <c r="AO44" i="10"/>
  <c r="AO43" i="10"/>
  <c r="AO42" i="10"/>
  <c r="AO41" i="10"/>
  <c r="AO40" i="10"/>
  <c r="AO39" i="10"/>
  <c r="AO38" i="10"/>
  <c r="AO37" i="10"/>
  <c r="AO36" i="10"/>
  <c r="AO35" i="10"/>
  <c r="AO34" i="10"/>
  <c r="AO33" i="10"/>
  <c r="AO32" i="10"/>
  <c r="AO31" i="10"/>
  <c r="AO30" i="10"/>
  <c r="AO29" i="10"/>
  <c r="AO28" i="10"/>
  <c r="AO27" i="10"/>
  <c r="AO26" i="10"/>
  <c r="AO25" i="10"/>
  <c r="AO24" i="10"/>
  <c r="AO23" i="10"/>
  <c r="AO22" i="10"/>
  <c r="AO21" i="10"/>
  <c r="AO20" i="10"/>
  <c r="AO19" i="10"/>
  <c r="AO18" i="10"/>
  <c r="AO17" i="10"/>
  <c r="AO16" i="10"/>
  <c r="AO15" i="10"/>
  <c r="AO13" i="10"/>
  <c r="BG24" i="8" l="1"/>
  <c r="BG18" i="8"/>
  <c r="BG12" i="8"/>
  <c r="BG11" i="8"/>
  <c r="F26" i="15" l="1"/>
  <c r="F20" i="15"/>
  <c r="F16" i="15"/>
  <c r="F21" i="15" s="1"/>
  <c r="F31" i="15" s="1"/>
  <c r="F34" i="15" s="1"/>
  <c r="F36" i="15" s="1"/>
  <c r="E35" i="15"/>
  <c r="E33" i="15"/>
  <c r="E32" i="15"/>
  <c r="E30" i="15"/>
  <c r="E29" i="15"/>
  <c r="E28" i="15"/>
  <c r="E27" i="15"/>
  <c r="D26" i="15"/>
  <c r="C26" i="15"/>
  <c r="E25" i="15"/>
  <c r="E24" i="15"/>
  <c r="E23" i="15"/>
  <c r="E22" i="15"/>
  <c r="D20" i="15"/>
  <c r="C20" i="15"/>
  <c r="E20" i="15" s="1"/>
  <c r="E19" i="15"/>
  <c r="E18" i="15"/>
  <c r="E17" i="15"/>
  <c r="D16" i="15"/>
  <c r="D21" i="15" s="1"/>
  <c r="D31" i="15" s="1"/>
  <c r="D34" i="15" s="1"/>
  <c r="D36" i="15" s="1"/>
  <c r="C16" i="15"/>
  <c r="E15" i="15"/>
  <c r="E14" i="15"/>
  <c r="E13" i="15"/>
  <c r="E12" i="15"/>
  <c r="E11" i="15"/>
  <c r="G11" i="15" s="1"/>
  <c r="F28" i="14"/>
  <c r="F23" i="14"/>
  <c r="F19" i="14"/>
  <c r="F24" i="14" s="1"/>
  <c r="F33" i="14" l="1"/>
  <c r="F36" i="14" s="1"/>
  <c r="F38" i="14" s="1"/>
  <c r="C21" i="15"/>
  <c r="C31" i="15" s="1"/>
  <c r="E31" i="15" s="1"/>
  <c r="E26" i="15"/>
  <c r="C34" i="15"/>
  <c r="E16" i="15"/>
  <c r="E21" i="15"/>
  <c r="C36" i="15" l="1"/>
  <c r="E36" i="15" s="1"/>
  <c r="E34" i="15"/>
  <c r="AO20" i="12" l="1"/>
  <c r="AO32" i="12" s="1"/>
  <c r="AN20" i="12"/>
  <c r="AN32" i="12" s="1"/>
  <c r="AM20" i="12"/>
  <c r="AL20" i="12"/>
  <c r="AL16" i="12"/>
  <c r="AL12" i="12" s="1"/>
  <c r="AM16" i="12"/>
  <c r="AL32" i="12" l="1"/>
  <c r="G35" i="15"/>
  <c r="H33" i="15"/>
  <c r="G33" i="15"/>
  <c r="G32" i="15"/>
  <c r="H32" i="15" s="1"/>
  <c r="G30" i="15"/>
  <c r="H30" i="15" s="1"/>
  <c r="G29" i="15"/>
  <c r="H29" i="15" s="1"/>
  <c r="G28" i="15"/>
  <c r="H28" i="15" s="1"/>
  <c r="G27" i="15"/>
  <c r="H27" i="15" s="1"/>
  <c r="G26" i="15"/>
  <c r="H26" i="15" s="1"/>
  <c r="H25" i="15"/>
  <c r="G25" i="15"/>
  <c r="G24" i="15"/>
  <c r="H24" i="15" s="1"/>
  <c r="G23" i="15"/>
  <c r="H23" i="15" s="1"/>
  <c r="G22" i="15"/>
  <c r="H22" i="15" s="1"/>
  <c r="G20" i="15"/>
  <c r="H20" i="15" s="1"/>
  <c r="G19" i="15"/>
  <c r="H19" i="15" s="1"/>
  <c r="G18" i="15"/>
  <c r="H18" i="15" s="1"/>
  <c r="G17" i="15"/>
  <c r="H17" i="15" s="1"/>
  <c r="G16" i="15"/>
  <c r="G15" i="15"/>
  <c r="H15" i="15" s="1"/>
  <c r="G14" i="15"/>
  <c r="H14" i="15" s="1"/>
  <c r="G13" i="15"/>
  <c r="H13" i="15" s="1"/>
  <c r="G12" i="15"/>
  <c r="H12" i="15" s="1"/>
  <c r="H11" i="15"/>
  <c r="H16" i="15" l="1"/>
  <c r="G21" i="15" l="1"/>
  <c r="H21" i="15" s="1"/>
  <c r="G31" i="15" l="1"/>
  <c r="H31" i="15" s="1"/>
  <c r="G36" i="15" l="1"/>
  <c r="H36" i="15" s="1"/>
  <c r="G34" i="15"/>
  <c r="H34" i="15" s="1"/>
  <c r="AM12" i="12" l="1"/>
  <c r="AM32" i="12" s="1"/>
  <c r="H36" i="14" l="1"/>
  <c r="I36" i="14"/>
  <c r="J36" i="14"/>
  <c r="G36" i="14"/>
  <c r="BB51" i="8" l="1"/>
  <c r="BB57" i="8"/>
  <c r="BC57" i="8"/>
  <c r="BD57" i="8"/>
  <c r="BB58" i="8"/>
  <c r="BC58" i="8"/>
  <c r="BD58" i="8"/>
  <c r="BA58" i="8"/>
  <c r="BA57" i="8"/>
  <c r="AY60" i="8" l="1"/>
  <c r="AY59" i="8"/>
  <c r="AY58" i="8"/>
  <c r="AY57" i="8"/>
  <c r="AY56" i="8"/>
  <c r="AY55" i="8"/>
  <c r="AY54" i="8"/>
  <c r="AY53" i="8"/>
  <c r="AY51" i="8"/>
  <c r="I34" i="6" l="1"/>
  <c r="I32" i="6"/>
  <c r="G23" i="6"/>
  <c r="H23" i="6" s="1"/>
  <c r="I39" i="5"/>
  <c r="J37" i="5"/>
  <c r="H37" i="5"/>
  <c r="K47" i="5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AX51" i="8" l="1"/>
  <c r="AX53" i="8"/>
  <c r="AX54" i="8"/>
  <c r="AX55" i="8"/>
  <c r="AX56" i="8"/>
  <c r="AX57" i="8"/>
  <c r="AX58" i="8"/>
  <c r="AX59" i="8"/>
  <c r="AX60" i="8"/>
  <c r="I47" i="5" l="1"/>
  <c r="I46" i="5"/>
  <c r="I45" i="5"/>
  <c r="I44" i="5"/>
  <c r="I43" i="5"/>
  <c r="I42" i="5"/>
  <c r="I41" i="5"/>
  <c r="I40" i="5"/>
  <c r="I38" i="5"/>
  <c r="I37" i="5"/>
  <c r="I36" i="5"/>
  <c r="I35" i="5"/>
  <c r="I34" i="5"/>
  <c r="I33" i="5"/>
  <c r="I32" i="5"/>
  <c r="I31" i="5"/>
  <c r="I30" i="5"/>
  <c r="I29" i="5"/>
  <c r="I28" i="5"/>
  <c r="I27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AW38" i="8" l="1"/>
  <c r="AW30" i="8"/>
  <c r="AW44" i="8" s="1"/>
  <c r="AW28" i="8"/>
  <c r="AW27" i="8"/>
  <c r="AW41" i="8" s="1"/>
  <c r="AW24" i="8"/>
  <c r="AW18" i="8"/>
  <c r="AW12" i="8"/>
  <c r="AW29" i="8"/>
  <c r="AW32" i="8" l="1"/>
  <c r="AW31" i="8"/>
  <c r="AW59" i="8"/>
  <c r="AW55" i="8"/>
  <c r="AW57" i="8"/>
  <c r="AW53" i="8"/>
  <c r="AW42" i="8"/>
  <c r="AW43" i="8" s="1"/>
  <c r="AW11" i="8"/>
  <c r="AW46" i="8" l="1"/>
  <c r="AW45" i="8"/>
  <c r="AW56" i="8"/>
  <c r="AW51" i="8"/>
  <c r="AW58" i="8"/>
  <c r="AW54" i="8"/>
  <c r="AW60" i="8"/>
  <c r="L29" i="6" l="1"/>
  <c r="L28" i="6"/>
  <c r="L27" i="6"/>
  <c r="L25" i="6"/>
  <c r="L24" i="6"/>
  <c r="L22" i="6"/>
  <c r="L21" i="6"/>
  <c r="L20" i="6"/>
  <c r="L19" i="6"/>
  <c r="L18" i="6"/>
  <c r="L17" i="6"/>
  <c r="L16" i="6"/>
  <c r="L15" i="6"/>
  <c r="L14" i="6"/>
  <c r="L13" i="6"/>
  <c r="L12" i="6"/>
  <c r="L11" i="6"/>
  <c r="L10" i="6"/>
  <c r="L9" i="6"/>
  <c r="L8" i="6"/>
  <c r="L7" i="6"/>
  <c r="L6" i="6"/>
  <c r="L5" i="6"/>
  <c r="E34" i="6"/>
  <c r="E32" i="6"/>
  <c r="E29" i="6"/>
  <c r="G29" i="6" s="1"/>
  <c r="H29" i="6" s="1"/>
  <c r="E28" i="6"/>
  <c r="G28" i="6" s="1"/>
  <c r="H28" i="6" s="1"/>
  <c r="E27" i="6"/>
  <c r="G27" i="6" s="1"/>
  <c r="H27" i="6" s="1"/>
  <c r="E26" i="6"/>
  <c r="G26" i="6" s="1"/>
  <c r="H26" i="6" s="1"/>
  <c r="E25" i="6"/>
  <c r="G25" i="6" s="1"/>
  <c r="H25" i="6" s="1"/>
  <c r="E24" i="6"/>
  <c r="G24" i="6" s="1"/>
  <c r="H24" i="6" s="1"/>
  <c r="E22" i="6"/>
  <c r="G22" i="6" s="1"/>
  <c r="H22" i="6" s="1"/>
  <c r="E21" i="6"/>
  <c r="G21" i="6" s="1"/>
  <c r="H21" i="6" s="1"/>
  <c r="E20" i="6"/>
  <c r="G20" i="6" s="1"/>
  <c r="H20" i="6" s="1"/>
  <c r="E19" i="6"/>
  <c r="G19" i="6" s="1"/>
  <c r="H19" i="6" s="1"/>
  <c r="E18" i="6"/>
  <c r="G18" i="6" s="1"/>
  <c r="H18" i="6" s="1"/>
  <c r="E17" i="6"/>
  <c r="G17" i="6" s="1"/>
  <c r="H17" i="6" s="1"/>
  <c r="E16" i="6"/>
  <c r="G16" i="6" s="1"/>
  <c r="H16" i="6" s="1"/>
  <c r="E15" i="6"/>
  <c r="G15" i="6" s="1"/>
  <c r="H15" i="6" s="1"/>
  <c r="E14" i="6"/>
  <c r="G14" i="6" s="1"/>
  <c r="H14" i="6" s="1"/>
  <c r="E13" i="6"/>
  <c r="G13" i="6" s="1"/>
  <c r="H13" i="6" s="1"/>
  <c r="E12" i="6"/>
  <c r="G12" i="6" s="1"/>
  <c r="H12" i="6" s="1"/>
  <c r="E11" i="6"/>
  <c r="G11" i="6" s="1"/>
  <c r="H11" i="6" s="1"/>
  <c r="E10" i="6"/>
  <c r="G10" i="6" s="1"/>
  <c r="H10" i="6" s="1"/>
  <c r="E9" i="6"/>
  <c r="G9" i="6" s="1"/>
  <c r="H9" i="6" s="1"/>
  <c r="E8" i="6"/>
  <c r="G8" i="6" s="1"/>
  <c r="H8" i="6" s="1"/>
  <c r="E7" i="6"/>
  <c r="G7" i="6" s="1"/>
  <c r="H7" i="6" s="1"/>
  <c r="E6" i="6"/>
  <c r="G6" i="6" s="1"/>
  <c r="H6" i="6" s="1"/>
  <c r="E5" i="6"/>
  <c r="G5" i="6" s="1"/>
  <c r="H5" i="6" s="1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7" i="5"/>
  <c r="G28" i="5"/>
  <c r="G29" i="5"/>
  <c r="G30" i="5"/>
  <c r="G31" i="5"/>
  <c r="G32" i="5"/>
  <c r="G33" i="5"/>
  <c r="G34" i="5"/>
  <c r="G35" i="5"/>
  <c r="G36" i="5"/>
  <c r="G37" i="5"/>
  <c r="G38" i="5"/>
  <c r="G40" i="5"/>
  <c r="G41" i="5"/>
  <c r="G42" i="5"/>
  <c r="G43" i="5"/>
  <c r="G44" i="5"/>
  <c r="G45" i="5"/>
  <c r="G46" i="5"/>
  <c r="G47" i="5"/>
  <c r="G7" i="5"/>
  <c r="CJ47" i="5" l="1"/>
  <c r="CH47" i="5"/>
  <c r="CF47" i="5"/>
  <c r="CC47" i="5"/>
  <c r="CA47" i="5"/>
  <c r="BY47" i="5"/>
  <c r="CJ46" i="5"/>
  <c r="CH46" i="5"/>
  <c r="CF46" i="5"/>
  <c r="CC46" i="5"/>
  <c r="CA46" i="5"/>
  <c r="BY46" i="5"/>
  <c r="CJ45" i="5"/>
  <c r="CH45" i="5"/>
  <c r="CF45" i="5"/>
  <c r="CC45" i="5"/>
  <c r="CA45" i="5"/>
  <c r="BY45" i="5"/>
  <c r="CJ44" i="5"/>
  <c r="CH44" i="5"/>
  <c r="CF44" i="5"/>
  <c r="CC44" i="5"/>
  <c r="CA44" i="5"/>
  <c r="BY44" i="5"/>
  <c r="CJ43" i="5"/>
  <c r="CH43" i="5"/>
  <c r="CF43" i="5"/>
  <c r="CC43" i="5"/>
  <c r="CA43" i="5"/>
  <c r="BY43" i="5"/>
  <c r="CJ42" i="5"/>
  <c r="CH42" i="5"/>
  <c r="CF42" i="5"/>
  <c r="CC42" i="5"/>
  <c r="CA42" i="5"/>
  <c r="BY42" i="5"/>
  <c r="CJ41" i="5"/>
  <c r="CH41" i="5"/>
  <c r="CF41" i="5"/>
  <c r="CC41" i="5"/>
  <c r="CA41" i="5"/>
  <c r="BY41" i="5"/>
  <c r="CJ40" i="5"/>
  <c r="CH40" i="5"/>
  <c r="CF40" i="5"/>
  <c r="CC40" i="5"/>
  <c r="CA40" i="5"/>
  <c r="BY40" i="5"/>
  <c r="CJ38" i="5"/>
  <c r="CH38" i="5"/>
  <c r="CF38" i="5"/>
  <c r="CC38" i="5"/>
  <c r="CA38" i="5"/>
  <c r="BY38" i="5"/>
  <c r="CJ37" i="5"/>
  <c r="CH37" i="5"/>
  <c r="CF37" i="5"/>
  <c r="CC37" i="5"/>
  <c r="CA37" i="5"/>
  <c r="BY37" i="5"/>
  <c r="CJ36" i="5"/>
  <c r="CH36" i="5"/>
  <c r="CF36" i="5"/>
  <c r="CC36" i="5"/>
  <c r="CA36" i="5"/>
  <c r="BY36" i="5"/>
  <c r="CJ35" i="5"/>
  <c r="CH35" i="5"/>
  <c r="CF35" i="5"/>
  <c r="CC35" i="5"/>
  <c r="CA35" i="5"/>
  <c r="BY35" i="5"/>
  <c r="CJ34" i="5"/>
  <c r="CH34" i="5"/>
  <c r="CF34" i="5"/>
  <c r="CC34" i="5"/>
  <c r="CA34" i="5"/>
  <c r="BY34" i="5"/>
  <c r="CJ33" i="5"/>
  <c r="CH33" i="5"/>
  <c r="CF33" i="5"/>
  <c r="CC33" i="5"/>
  <c r="CA33" i="5"/>
  <c r="BY33" i="5"/>
  <c r="CJ32" i="5"/>
  <c r="CH32" i="5"/>
  <c r="CF32" i="5"/>
  <c r="CC32" i="5"/>
  <c r="CA32" i="5"/>
  <c r="BY32" i="5"/>
  <c r="CJ31" i="5"/>
  <c r="CH31" i="5"/>
  <c r="CF31" i="5"/>
  <c r="CC31" i="5"/>
  <c r="CA31" i="5"/>
  <c r="BY31" i="5"/>
  <c r="CJ30" i="5"/>
  <c r="CH30" i="5"/>
  <c r="CF30" i="5"/>
  <c r="CC30" i="5"/>
  <c r="CA30" i="5"/>
  <c r="BY30" i="5"/>
  <c r="CJ29" i="5"/>
  <c r="CH29" i="5"/>
  <c r="CF29" i="5"/>
  <c r="CC29" i="5"/>
  <c r="CA29" i="5"/>
  <c r="BY29" i="5"/>
  <c r="CJ28" i="5"/>
  <c r="CH28" i="5"/>
  <c r="CF28" i="5"/>
  <c r="CC28" i="5"/>
  <c r="CA28" i="5"/>
  <c r="BY28" i="5"/>
  <c r="CJ27" i="5"/>
  <c r="CH27" i="5"/>
  <c r="CF27" i="5"/>
  <c r="CC27" i="5"/>
  <c r="CA27" i="5"/>
  <c r="BY27" i="5"/>
  <c r="CJ26" i="5"/>
  <c r="CH26" i="5"/>
  <c r="CF26" i="5"/>
  <c r="CC26" i="5"/>
  <c r="CA26" i="5"/>
  <c r="BY26" i="5"/>
  <c r="CJ25" i="5"/>
  <c r="CH25" i="5"/>
  <c r="CF25" i="5"/>
  <c r="CC25" i="5"/>
  <c r="CA25" i="5"/>
  <c r="BY25" i="5"/>
  <c r="CJ24" i="5"/>
  <c r="CH24" i="5"/>
  <c r="CF24" i="5"/>
  <c r="CC24" i="5"/>
  <c r="CA24" i="5"/>
  <c r="BY24" i="5"/>
  <c r="CJ23" i="5"/>
  <c r="CH23" i="5"/>
  <c r="CF23" i="5"/>
  <c r="CC23" i="5"/>
  <c r="CA23" i="5"/>
  <c r="BY23" i="5"/>
  <c r="CJ22" i="5"/>
  <c r="CH22" i="5"/>
  <c r="CF22" i="5"/>
  <c r="CC22" i="5"/>
  <c r="CA22" i="5"/>
  <c r="BY22" i="5"/>
  <c r="CJ21" i="5"/>
  <c r="CH21" i="5"/>
  <c r="CF21" i="5"/>
  <c r="CC21" i="5"/>
  <c r="CA21" i="5"/>
  <c r="BY21" i="5"/>
  <c r="CJ20" i="5"/>
  <c r="CH20" i="5"/>
  <c r="CF20" i="5"/>
  <c r="CC20" i="5"/>
  <c r="CA20" i="5"/>
  <c r="BY20" i="5"/>
  <c r="CJ19" i="5"/>
  <c r="CH19" i="5"/>
  <c r="CF19" i="5"/>
  <c r="CC19" i="5"/>
  <c r="CA19" i="5"/>
  <c r="BY19" i="5"/>
  <c r="CJ18" i="5"/>
  <c r="CH18" i="5"/>
  <c r="CF18" i="5"/>
  <c r="CC18" i="5"/>
  <c r="CA18" i="5"/>
  <c r="BY18" i="5"/>
  <c r="CJ17" i="5"/>
  <c r="CH17" i="5"/>
  <c r="CF17" i="5"/>
  <c r="CC17" i="5"/>
  <c r="CA17" i="5"/>
  <c r="BY17" i="5"/>
  <c r="CJ16" i="5"/>
  <c r="CH16" i="5"/>
  <c r="CF16" i="5"/>
  <c r="CC16" i="5"/>
  <c r="CA16" i="5"/>
  <c r="BY16" i="5"/>
  <c r="CJ15" i="5"/>
  <c r="CH15" i="5"/>
  <c r="CF15" i="5"/>
  <c r="CC15" i="5"/>
  <c r="CA15" i="5"/>
  <c r="BY15" i="5"/>
  <c r="CJ14" i="5"/>
  <c r="CH14" i="5"/>
  <c r="CF14" i="5"/>
  <c r="CC14" i="5"/>
  <c r="CA14" i="5"/>
  <c r="BY14" i="5"/>
  <c r="CJ13" i="5"/>
  <c r="CH13" i="5"/>
  <c r="CF13" i="5"/>
  <c r="CC13" i="5"/>
  <c r="CA13" i="5"/>
  <c r="BY13" i="5"/>
  <c r="CJ12" i="5"/>
  <c r="CH12" i="5"/>
  <c r="CF12" i="5"/>
  <c r="CC12" i="5"/>
  <c r="CA12" i="5"/>
  <c r="BY12" i="5"/>
  <c r="CJ11" i="5"/>
  <c r="CH11" i="5"/>
  <c r="CF11" i="5"/>
  <c r="CC11" i="5"/>
  <c r="CA11" i="5"/>
  <c r="BY11" i="5"/>
  <c r="CJ10" i="5"/>
  <c r="CH10" i="5"/>
  <c r="CF10" i="5"/>
  <c r="CC10" i="5"/>
  <c r="CA10" i="5"/>
  <c r="BY10" i="5"/>
  <c r="CJ9" i="5"/>
  <c r="CH9" i="5"/>
  <c r="CF9" i="5"/>
  <c r="CC9" i="5"/>
  <c r="CA9" i="5"/>
  <c r="BY9" i="5"/>
  <c r="CJ8" i="5"/>
  <c r="CH8" i="5"/>
  <c r="CF8" i="5"/>
  <c r="CC8" i="5"/>
  <c r="CA8" i="5"/>
  <c r="BY8" i="5"/>
  <c r="CJ7" i="5"/>
  <c r="CH7" i="5"/>
  <c r="CF7" i="5"/>
  <c r="CC7" i="5"/>
  <c r="CA7" i="5"/>
  <c r="BY7" i="5"/>
  <c r="AS37" i="8" l="1"/>
  <c r="AR37" i="8"/>
  <c r="AQ37" i="8"/>
  <c r="AP37" i="8"/>
  <c r="AT37" i="8"/>
  <c r="AM37" i="8"/>
  <c r="AN37" i="8"/>
  <c r="R37" i="8"/>
  <c r="F37" i="8"/>
  <c r="AI37" i="8"/>
  <c r="AH37" i="8"/>
  <c r="AG37" i="8"/>
  <c r="AF37" i="8"/>
  <c r="AF38" i="8" s="1"/>
  <c r="AD37" i="8"/>
  <c r="AE37" i="8"/>
  <c r="C37" i="8"/>
  <c r="C38" i="8" s="1"/>
  <c r="C30" i="8"/>
  <c r="C28" i="8"/>
  <c r="C42" i="8" s="1"/>
  <c r="C58" i="8" s="1"/>
  <c r="C27" i="8"/>
  <c r="C41" i="8" s="1"/>
  <c r="C53" i="8" s="1"/>
  <c r="AU23" i="8"/>
  <c r="AU24" i="8" s="1"/>
  <c r="AT23" i="8"/>
  <c r="AS23" i="8"/>
  <c r="AR23" i="8"/>
  <c r="AM23" i="8"/>
  <c r="AL23" i="8"/>
  <c r="AK23" i="8"/>
  <c r="AJ23" i="8"/>
  <c r="AI23" i="8"/>
  <c r="AH23" i="8"/>
  <c r="AG23" i="8"/>
  <c r="AF23" i="8"/>
  <c r="AF24" i="8" s="1"/>
  <c r="AE23" i="8"/>
  <c r="C23" i="8"/>
  <c r="C24" i="8" s="1"/>
  <c r="AV17" i="8"/>
  <c r="AU17" i="8"/>
  <c r="AU18" i="8" s="1"/>
  <c r="AT17" i="8"/>
  <c r="AS17" i="8"/>
  <c r="AR17" i="8"/>
  <c r="AB17" i="8"/>
  <c r="Z17" i="8"/>
  <c r="I17" i="8"/>
  <c r="F17" i="8"/>
  <c r="E17" i="8"/>
  <c r="D17" i="8"/>
  <c r="C17" i="8"/>
  <c r="C18" i="8" s="1"/>
  <c r="AV30" i="8"/>
  <c r="AV44" i="8" s="1"/>
  <c r="AT9" i="8"/>
  <c r="AU9" i="8"/>
  <c r="AU12" i="8" s="1"/>
  <c r="AV9" i="8"/>
  <c r="AS9" i="8"/>
  <c r="AR9" i="8"/>
  <c r="AQ9" i="8"/>
  <c r="AP9" i="8"/>
  <c r="AO9" i="8"/>
  <c r="AN9" i="8"/>
  <c r="AM9" i="8"/>
  <c r="AL9" i="8"/>
  <c r="AK9" i="8"/>
  <c r="AJ9" i="8"/>
  <c r="AI9" i="8"/>
  <c r="AH9" i="8"/>
  <c r="AG9" i="8"/>
  <c r="AF9" i="8"/>
  <c r="AF11" i="8" s="1"/>
  <c r="AE9" i="8"/>
  <c r="AD9" i="8"/>
  <c r="AC9" i="8"/>
  <c r="AB9" i="8"/>
  <c r="AA9" i="8"/>
  <c r="Z9" i="8"/>
  <c r="Y9" i="8"/>
  <c r="X9" i="8"/>
  <c r="W9" i="8"/>
  <c r="V9" i="8"/>
  <c r="U9" i="8"/>
  <c r="T9" i="8"/>
  <c r="S9" i="8"/>
  <c r="R9" i="8"/>
  <c r="Q9" i="8"/>
  <c r="P9" i="8"/>
  <c r="O9" i="8"/>
  <c r="N9" i="8"/>
  <c r="M9" i="8"/>
  <c r="L9" i="8"/>
  <c r="K9" i="8"/>
  <c r="J9" i="8"/>
  <c r="I9" i="8"/>
  <c r="H9" i="8"/>
  <c r="G9" i="8"/>
  <c r="F9" i="8"/>
  <c r="E9" i="8"/>
  <c r="D9" i="8"/>
  <c r="D12" i="8" s="1"/>
  <c r="C9" i="8"/>
  <c r="C11" i="8" s="1"/>
  <c r="C51" i="8" l="1"/>
  <c r="C56" i="8"/>
  <c r="C60" i="8"/>
  <c r="C59" i="8"/>
  <c r="C55" i="8"/>
  <c r="C57" i="8"/>
  <c r="C54" i="8"/>
  <c r="C43" i="8"/>
  <c r="C29" i="8"/>
  <c r="C12" i="8"/>
  <c r="AF12" i="8"/>
  <c r="AU11" i="8"/>
  <c r="W28" i="8"/>
  <c r="C45" i="8" l="1"/>
  <c r="C32" i="8"/>
  <c r="C31" i="8"/>
  <c r="AA28" i="8"/>
  <c r="AA27" i="8"/>
  <c r="AV37" i="8"/>
  <c r="AV38" i="8" s="1"/>
  <c r="AV28" i="8"/>
  <c r="AV27" i="8"/>
  <c r="AV23" i="8"/>
  <c r="AV24" i="8" s="1"/>
  <c r="AV11" i="8"/>
  <c r="AV41" i="8" l="1"/>
  <c r="AV59" i="8"/>
  <c r="AV42" i="8"/>
  <c r="AV60" i="8"/>
  <c r="AV53" i="8"/>
  <c r="AV29" i="8"/>
  <c r="AV55" i="8" l="1"/>
  <c r="AV57" i="8"/>
  <c r="AV43" i="8"/>
  <c r="AV46" i="8" s="1"/>
  <c r="AV51" i="8"/>
  <c r="AV54" i="8"/>
  <c r="AV58" i="8"/>
  <c r="AV56" i="8"/>
  <c r="AT38" i="8"/>
  <c r="AS38" i="8"/>
  <c r="AR38" i="8"/>
  <c r="AM38" i="8"/>
  <c r="AH38" i="8"/>
  <c r="AG38" i="8"/>
  <c r="AU37" i="8"/>
  <c r="AU38" i="8" s="1"/>
  <c r="AQ38" i="8"/>
  <c r="AP38" i="8"/>
  <c r="AO37" i="8"/>
  <c r="AO38" i="8" s="1"/>
  <c r="AN38" i="8"/>
  <c r="AL37" i="8"/>
  <c r="AL38" i="8" s="1"/>
  <c r="AK37" i="8"/>
  <c r="AK38" i="8" s="1"/>
  <c r="AJ37" i="8"/>
  <c r="AJ38" i="8" s="1"/>
  <c r="AI38" i="8"/>
  <c r="AE38" i="8"/>
  <c r="AD38" i="8"/>
  <c r="AC37" i="8"/>
  <c r="AC38" i="8" s="1"/>
  <c r="AB37" i="8"/>
  <c r="AB38" i="8" s="1"/>
  <c r="AA37" i="8"/>
  <c r="AA38" i="8" s="1"/>
  <c r="Z37" i="8"/>
  <c r="Z38" i="8" s="1"/>
  <c r="Y37" i="8"/>
  <c r="Y38" i="8" s="1"/>
  <c r="X37" i="8"/>
  <c r="X38" i="8" s="1"/>
  <c r="W37" i="8"/>
  <c r="W38" i="8" s="1"/>
  <c r="V37" i="8"/>
  <c r="V38" i="8" s="1"/>
  <c r="U37" i="8"/>
  <c r="U38" i="8" s="1"/>
  <c r="T37" i="8"/>
  <c r="T38" i="8" s="1"/>
  <c r="S37" i="8"/>
  <c r="S38" i="8" s="1"/>
  <c r="R38" i="8"/>
  <c r="Q37" i="8"/>
  <c r="Q38" i="8" s="1"/>
  <c r="P37" i="8"/>
  <c r="P38" i="8" s="1"/>
  <c r="O37" i="8"/>
  <c r="O38" i="8" s="1"/>
  <c r="N37" i="8"/>
  <c r="N38" i="8" s="1"/>
  <c r="M37" i="8"/>
  <c r="M38" i="8" s="1"/>
  <c r="L37" i="8"/>
  <c r="L38" i="8" s="1"/>
  <c r="K37" i="8"/>
  <c r="K38" i="8" s="1"/>
  <c r="J37" i="8"/>
  <c r="J38" i="8" s="1"/>
  <c r="I37" i="8"/>
  <c r="I38" i="8" s="1"/>
  <c r="H37" i="8"/>
  <c r="H38" i="8" s="1"/>
  <c r="G37" i="8"/>
  <c r="G38" i="8" s="1"/>
  <c r="F38" i="8"/>
  <c r="E37" i="8"/>
  <c r="E38" i="8" s="1"/>
  <c r="D37" i="8"/>
  <c r="D38" i="8" s="1"/>
  <c r="AU30" i="8"/>
  <c r="AU44" i="8" s="1"/>
  <c r="AT30" i="8"/>
  <c r="AT44" i="8" s="1"/>
  <c r="AS30" i="8"/>
  <c r="AS44" i="8" s="1"/>
  <c r="AR30" i="8"/>
  <c r="AR44" i="8" s="1"/>
  <c r="AQ30" i="8"/>
  <c r="AQ44" i="8" s="1"/>
  <c r="AP30" i="8"/>
  <c r="AP44" i="8" s="1"/>
  <c r="AO30" i="8"/>
  <c r="AO44" i="8" s="1"/>
  <c r="AN30" i="8"/>
  <c r="AN44" i="8" s="1"/>
  <c r="AM30" i="8"/>
  <c r="AM44" i="8" s="1"/>
  <c r="AL30" i="8"/>
  <c r="AL44" i="8" s="1"/>
  <c r="AK30" i="8"/>
  <c r="AK44" i="8" s="1"/>
  <c r="AJ30" i="8"/>
  <c r="AJ44" i="8" s="1"/>
  <c r="AI30" i="8"/>
  <c r="AI44" i="8" s="1"/>
  <c r="AH30" i="8"/>
  <c r="AH44" i="8" s="1"/>
  <c r="AG30" i="8"/>
  <c r="AG44" i="8" s="1"/>
  <c r="AF30" i="8"/>
  <c r="AF44" i="8" s="1"/>
  <c r="AE30" i="8"/>
  <c r="AE44" i="8" s="1"/>
  <c r="AD30" i="8"/>
  <c r="AD44" i="8" s="1"/>
  <c r="AC30" i="8"/>
  <c r="AC44" i="8" s="1"/>
  <c r="AB30" i="8"/>
  <c r="AB44" i="8" s="1"/>
  <c r="AA30" i="8"/>
  <c r="AA44" i="8" s="1"/>
  <c r="Z30" i="8"/>
  <c r="Z44" i="8" s="1"/>
  <c r="Y30" i="8"/>
  <c r="Y44" i="8" s="1"/>
  <c r="X30" i="8"/>
  <c r="X44" i="8" s="1"/>
  <c r="W30" i="8"/>
  <c r="W44" i="8" s="1"/>
  <c r="V30" i="8"/>
  <c r="V44" i="8" s="1"/>
  <c r="U30" i="8"/>
  <c r="U44" i="8" s="1"/>
  <c r="T30" i="8"/>
  <c r="T44" i="8" s="1"/>
  <c r="S30" i="8"/>
  <c r="S44" i="8" s="1"/>
  <c r="R30" i="8"/>
  <c r="R44" i="8" s="1"/>
  <c r="Q30" i="8"/>
  <c r="Q44" i="8" s="1"/>
  <c r="P30" i="8"/>
  <c r="P44" i="8" s="1"/>
  <c r="O30" i="8"/>
  <c r="O44" i="8" s="1"/>
  <c r="N30" i="8"/>
  <c r="N44" i="8" s="1"/>
  <c r="M30" i="8"/>
  <c r="M44" i="8" s="1"/>
  <c r="L30" i="8"/>
  <c r="L44" i="8" s="1"/>
  <c r="K30" i="8"/>
  <c r="K44" i="8" s="1"/>
  <c r="J30" i="8"/>
  <c r="J44" i="8" s="1"/>
  <c r="I30" i="8"/>
  <c r="I44" i="8" s="1"/>
  <c r="H30" i="8"/>
  <c r="H44" i="8" s="1"/>
  <c r="G30" i="8"/>
  <c r="G44" i="8" s="1"/>
  <c r="F30" i="8"/>
  <c r="F44" i="8" s="1"/>
  <c r="E30" i="8"/>
  <c r="E44" i="8" s="1"/>
  <c r="D30" i="8"/>
  <c r="D44" i="8" s="1"/>
  <c r="C44" i="8"/>
  <c r="C46" i="8" s="1"/>
  <c r="AU29" i="8"/>
  <c r="AT29" i="8"/>
  <c r="AS29" i="8"/>
  <c r="AR29" i="8"/>
  <c r="AU28" i="8"/>
  <c r="AT28" i="8"/>
  <c r="AS28" i="8"/>
  <c r="AR28" i="8"/>
  <c r="AQ28" i="8"/>
  <c r="AP28" i="8"/>
  <c r="AO28" i="8"/>
  <c r="AN28" i="8"/>
  <c r="AM28" i="8"/>
  <c r="AL28" i="8"/>
  <c r="AK28" i="8"/>
  <c r="AJ28" i="8"/>
  <c r="AI28" i="8"/>
  <c r="AH28" i="8"/>
  <c r="AG28" i="8"/>
  <c r="AF28" i="8"/>
  <c r="AE28" i="8"/>
  <c r="AD28" i="8"/>
  <c r="AC28" i="8"/>
  <c r="AB28" i="8"/>
  <c r="Z28" i="8"/>
  <c r="Y28" i="8"/>
  <c r="X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U27" i="8"/>
  <c r="AT27" i="8"/>
  <c r="AS27" i="8"/>
  <c r="AR27" i="8"/>
  <c r="AQ27" i="8"/>
  <c r="AP27" i="8"/>
  <c r="AO27" i="8"/>
  <c r="AN27" i="8"/>
  <c r="AM27" i="8"/>
  <c r="AL27" i="8"/>
  <c r="AK27" i="8"/>
  <c r="AJ27" i="8"/>
  <c r="AI27" i="8"/>
  <c r="AH27" i="8"/>
  <c r="AG27" i="8"/>
  <c r="AF27" i="8"/>
  <c r="AE27" i="8"/>
  <c r="AD27" i="8"/>
  <c r="AC27" i="8"/>
  <c r="AB27" i="8"/>
  <c r="AA41" i="8"/>
  <c r="Z27" i="8"/>
  <c r="Y27" i="8"/>
  <c r="X27" i="8"/>
  <c r="W27" i="8"/>
  <c r="V27" i="8"/>
  <c r="U27" i="8"/>
  <c r="T27" i="8"/>
  <c r="S27" i="8"/>
  <c r="R27" i="8"/>
  <c r="Q27" i="8"/>
  <c r="P27" i="8"/>
  <c r="O27" i="8"/>
  <c r="N27" i="8"/>
  <c r="M27" i="8"/>
  <c r="L27" i="8"/>
  <c r="K27" i="8"/>
  <c r="J27" i="8"/>
  <c r="I27" i="8"/>
  <c r="H27" i="8"/>
  <c r="G27" i="8"/>
  <c r="F27" i="8"/>
  <c r="E27" i="8"/>
  <c r="D27" i="8"/>
  <c r="AT24" i="8"/>
  <c r="AS24" i="8"/>
  <c r="AR24" i="8"/>
  <c r="AM24" i="8"/>
  <c r="AL24" i="8"/>
  <c r="AK24" i="8"/>
  <c r="AJ24" i="8"/>
  <c r="AI24" i="8"/>
  <c r="AH24" i="8"/>
  <c r="AG24" i="8"/>
  <c r="AE24" i="8"/>
  <c r="AQ23" i="8"/>
  <c r="AQ24" i="8" s="1"/>
  <c r="AP23" i="8"/>
  <c r="AP24" i="8" s="1"/>
  <c r="AO23" i="8"/>
  <c r="AO24" i="8" s="1"/>
  <c r="AN23" i="8"/>
  <c r="AN24" i="8" s="1"/>
  <c r="AD23" i="8"/>
  <c r="AD24" i="8" s="1"/>
  <c r="AC23" i="8"/>
  <c r="AC24" i="8" s="1"/>
  <c r="AB23" i="8"/>
  <c r="AB24" i="8" s="1"/>
  <c r="AA23" i="8"/>
  <c r="AA24" i="8" s="1"/>
  <c r="Z23" i="8"/>
  <c r="Z24" i="8" s="1"/>
  <c r="Y23" i="8"/>
  <c r="Y24" i="8" s="1"/>
  <c r="X23" i="8"/>
  <c r="X24" i="8" s="1"/>
  <c r="W23" i="8"/>
  <c r="W24" i="8" s="1"/>
  <c r="V23" i="8"/>
  <c r="V24" i="8" s="1"/>
  <c r="U23" i="8"/>
  <c r="U24" i="8" s="1"/>
  <c r="T23" i="8"/>
  <c r="T24" i="8" s="1"/>
  <c r="S23" i="8"/>
  <c r="S24" i="8" s="1"/>
  <c r="R23" i="8"/>
  <c r="R24" i="8" s="1"/>
  <c r="Q23" i="8"/>
  <c r="Q24" i="8" s="1"/>
  <c r="P23" i="8"/>
  <c r="P24" i="8" s="1"/>
  <c r="O23" i="8"/>
  <c r="O24" i="8" s="1"/>
  <c r="N23" i="8"/>
  <c r="N24" i="8" s="1"/>
  <c r="M23" i="8"/>
  <c r="M24" i="8" s="1"/>
  <c r="L23" i="8"/>
  <c r="L24" i="8" s="1"/>
  <c r="K23" i="8"/>
  <c r="K24" i="8" s="1"/>
  <c r="J23" i="8"/>
  <c r="J24" i="8" s="1"/>
  <c r="I23" i="8"/>
  <c r="I24" i="8" s="1"/>
  <c r="H23" i="8"/>
  <c r="H24" i="8" s="1"/>
  <c r="G23" i="8"/>
  <c r="G24" i="8" s="1"/>
  <c r="F23" i="8"/>
  <c r="F24" i="8" s="1"/>
  <c r="E23" i="8"/>
  <c r="E24" i="8" s="1"/>
  <c r="D23" i="8"/>
  <c r="D24" i="8" s="1"/>
  <c r="AT18" i="8"/>
  <c r="AS18" i="8"/>
  <c r="AR18" i="8"/>
  <c r="AV18" i="8"/>
  <c r="AQ17" i="8"/>
  <c r="AP17" i="8"/>
  <c r="AP18" i="8" s="1"/>
  <c r="AO17" i="8"/>
  <c r="AO18" i="8" s="1"/>
  <c r="AN17" i="8"/>
  <c r="AN18" i="8" s="1"/>
  <c r="AM17" i="8"/>
  <c r="AM29" i="8" s="1"/>
  <c r="AL17" i="8"/>
  <c r="AL29" i="8" s="1"/>
  <c r="AK17" i="8"/>
  <c r="AK29" i="8" s="1"/>
  <c r="AJ17" i="8"/>
  <c r="AJ18" i="8" s="1"/>
  <c r="AI17" i="8"/>
  <c r="AI29" i="8" s="1"/>
  <c r="AH17" i="8"/>
  <c r="AG17" i="8"/>
  <c r="AF17" i="8"/>
  <c r="AE17" i="8"/>
  <c r="AE18" i="8" s="1"/>
  <c r="AD17" i="8"/>
  <c r="AD18" i="8" s="1"/>
  <c r="AC17" i="8"/>
  <c r="AC18" i="8" s="1"/>
  <c r="AB18" i="8"/>
  <c r="AA17" i="8"/>
  <c r="AA18" i="8" s="1"/>
  <c r="Z18" i="8"/>
  <c r="Y17" i="8"/>
  <c r="Y18" i="8" s="1"/>
  <c r="X17" i="8"/>
  <c r="X18" i="8" s="1"/>
  <c r="W17" i="8"/>
  <c r="W18" i="8" s="1"/>
  <c r="V17" i="8"/>
  <c r="V18" i="8" s="1"/>
  <c r="U17" i="8"/>
  <c r="U18" i="8" s="1"/>
  <c r="T17" i="8"/>
  <c r="T18" i="8" s="1"/>
  <c r="S17" i="8"/>
  <c r="S18" i="8" s="1"/>
  <c r="R17" i="8"/>
  <c r="R18" i="8" s="1"/>
  <c r="Q17" i="8"/>
  <c r="Q18" i="8" s="1"/>
  <c r="P17" i="8"/>
  <c r="P18" i="8" s="1"/>
  <c r="O17" i="8"/>
  <c r="O18" i="8" s="1"/>
  <c r="N17" i="8"/>
  <c r="N18" i="8" s="1"/>
  <c r="M17" i="8"/>
  <c r="M18" i="8" s="1"/>
  <c r="L17" i="8"/>
  <c r="L18" i="8" s="1"/>
  <c r="K17" i="8"/>
  <c r="K18" i="8" s="1"/>
  <c r="J17" i="8"/>
  <c r="J18" i="8" s="1"/>
  <c r="I18" i="8"/>
  <c r="H17" i="8"/>
  <c r="H18" i="8" s="1"/>
  <c r="G17" i="8"/>
  <c r="G18" i="8" s="1"/>
  <c r="F18" i="8"/>
  <c r="E18" i="8"/>
  <c r="D18" i="8"/>
  <c r="AT12" i="8"/>
  <c r="AS12" i="8"/>
  <c r="AR12" i="8"/>
  <c r="AM12" i="8"/>
  <c r="AL12" i="8"/>
  <c r="AK12" i="8"/>
  <c r="AJ12" i="8"/>
  <c r="AI12" i="8"/>
  <c r="AH12" i="8"/>
  <c r="AG12" i="8"/>
  <c r="AE12" i="8"/>
  <c r="AT11" i="8"/>
  <c r="AS11" i="8"/>
  <c r="AR11" i="8"/>
  <c r="AM11" i="8"/>
  <c r="AL11" i="8"/>
  <c r="AK11" i="8"/>
  <c r="AJ11" i="8"/>
  <c r="AI11" i="8"/>
  <c r="AH11" i="8"/>
  <c r="AG11" i="8"/>
  <c r="AE11" i="8"/>
  <c r="AQ11" i="8"/>
  <c r="AO12" i="8"/>
  <c r="AN11" i="8"/>
  <c r="AD12" i="8"/>
  <c r="Z11" i="8"/>
  <c r="V11" i="8"/>
  <c r="T11" i="8"/>
  <c r="R12" i="8"/>
  <c r="P12" i="8"/>
  <c r="O11" i="8"/>
  <c r="N11" i="8"/>
  <c r="J12" i="8"/>
  <c r="F12" i="8"/>
  <c r="D11" i="8"/>
  <c r="H41" i="8" l="1"/>
  <c r="H59" i="8" s="1"/>
  <c r="AB41" i="8"/>
  <c r="AB59" i="8" s="1"/>
  <c r="AF41" i="8"/>
  <c r="AF59" i="8" s="1"/>
  <c r="H42" i="8"/>
  <c r="H60" i="8" s="1"/>
  <c r="L42" i="8"/>
  <c r="L60" i="8" s="1"/>
  <c r="P42" i="8"/>
  <c r="P60" i="8" s="1"/>
  <c r="T42" i="8"/>
  <c r="T60" i="8" s="1"/>
  <c r="I41" i="8"/>
  <c r="U41" i="8"/>
  <c r="Y41" i="8"/>
  <c r="Y59" i="8" s="1"/>
  <c r="AC41" i="8"/>
  <c r="AG41" i="8"/>
  <c r="AG59" i="8" s="1"/>
  <c r="AK41" i="8"/>
  <c r="AO41" i="8"/>
  <c r="AO59" i="8" s="1"/>
  <c r="M42" i="8"/>
  <c r="M60" i="8" s="1"/>
  <c r="U42" i="8"/>
  <c r="U60" i="8" s="1"/>
  <c r="F41" i="8"/>
  <c r="F59" i="8" s="1"/>
  <c r="V41" i="8"/>
  <c r="V59" i="8" s="1"/>
  <c r="AH41" i="8"/>
  <c r="AH59" i="8" s="1"/>
  <c r="AP41" i="8"/>
  <c r="AP59" i="8" s="1"/>
  <c r="AT41" i="8"/>
  <c r="AB42" i="8"/>
  <c r="AB60" i="8"/>
  <c r="AF42" i="8"/>
  <c r="AF60" i="8" s="1"/>
  <c r="AJ42" i="8"/>
  <c r="AJ60" i="8" s="1"/>
  <c r="AN42" i="8"/>
  <c r="AN60" i="8" s="1"/>
  <c r="AR42" i="8"/>
  <c r="AR60" i="8" s="1"/>
  <c r="AV45" i="8"/>
  <c r="K41" i="8"/>
  <c r="K59" i="8" s="1"/>
  <c r="O41" i="8"/>
  <c r="O59" i="8" s="1"/>
  <c r="S41" i="8"/>
  <c r="S59" i="8" s="1"/>
  <c r="AA53" i="8"/>
  <c r="AA55" i="8"/>
  <c r="AA57" i="8"/>
  <c r="AA59" i="8"/>
  <c r="AE41" i="8"/>
  <c r="AE59" i="8" s="1"/>
  <c r="K42" i="8"/>
  <c r="K60" i="8" s="1"/>
  <c r="X42" i="8"/>
  <c r="X60" i="8" s="1"/>
  <c r="AS42" i="8"/>
  <c r="AS60" i="8" s="1"/>
  <c r="O53" i="8"/>
  <c r="H53" i="8"/>
  <c r="L51" i="8"/>
  <c r="AF51" i="8"/>
  <c r="AN51" i="8"/>
  <c r="AG29" i="8"/>
  <c r="AG31" i="8" s="1"/>
  <c r="AG18" i="8"/>
  <c r="AH29" i="8"/>
  <c r="AH32" i="8" s="1"/>
  <c r="AH18" i="8"/>
  <c r="AF29" i="8"/>
  <c r="AF18" i="8"/>
  <c r="AJ41" i="8"/>
  <c r="E42" i="8"/>
  <c r="AU32" i="8"/>
  <c r="AU31" i="8"/>
  <c r="O12" i="8"/>
  <c r="W29" i="8"/>
  <c r="AA12" i="8"/>
  <c r="AA29" i="8"/>
  <c r="AA11" i="8"/>
  <c r="S12" i="8"/>
  <c r="S11" i="8"/>
  <c r="Y29" i="8"/>
  <c r="Y32" i="8" s="1"/>
  <c r="AU42" i="8"/>
  <c r="AU41" i="8"/>
  <c r="AU59" i="8" s="1"/>
  <c r="U29" i="8"/>
  <c r="U32" i="8" s="1"/>
  <c r="AS31" i="8"/>
  <c r="AT31" i="8"/>
  <c r="AL31" i="8"/>
  <c r="R11" i="8"/>
  <c r="Z12" i="8"/>
  <c r="AQ12" i="8"/>
  <c r="AQ29" i="8"/>
  <c r="AQ32" i="8" s="1"/>
  <c r="K29" i="8"/>
  <c r="K31" i="8" s="1"/>
  <c r="F11" i="8"/>
  <c r="N12" i="8"/>
  <c r="V12" i="8"/>
  <c r="AN12" i="8"/>
  <c r="AO42" i="8"/>
  <c r="AO60" i="8" s="1"/>
  <c r="J11" i="8"/>
  <c r="AG42" i="8"/>
  <c r="AG60" i="8" s="1"/>
  <c r="K11" i="8"/>
  <c r="AD11" i="8"/>
  <c r="AJ29" i="8"/>
  <c r="AJ32" i="8" s="1"/>
  <c r="H29" i="8"/>
  <c r="H32" i="8" s="1"/>
  <c r="L29" i="8"/>
  <c r="L31" i="8" s="1"/>
  <c r="X29" i="8"/>
  <c r="X32" i="8" s="1"/>
  <c r="AB29" i="8"/>
  <c r="AB31" i="8" s="1"/>
  <c r="K12" i="8"/>
  <c r="AK18" i="8"/>
  <c r="AT32" i="8"/>
  <c r="D42" i="8"/>
  <c r="D60" i="8" s="1"/>
  <c r="H11" i="8"/>
  <c r="X11" i="8"/>
  <c r="H12" i="8"/>
  <c r="X12" i="8"/>
  <c r="AI32" i="8"/>
  <c r="AI31" i="8"/>
  <c r="D29" i="8"/>
  <c r="O29" i="8"/>
  <c r="I12" i="8"/>
  <c r="I11" i="8"/>
  <c r="Q29" i="8"/>
  <c r="Q12" i="8"/>
  <c r="Q11" i="8"/>
  <c r="Y12" i="8"/>
  <c r="Y11" i="8"/>
  <c r="AP29" i="8"/>
  <c r="AP12" i="8"/>
  <c r="AP11" i="8"/>
  <c r="T12" i="8"/>
  <c r="AI18" i="8"/>
  <c r="L41" i="8"/>
  <c r="P41" i="8"/>
  <c r="AN41" i="8"/>
  <c r="AR31" i="8"/>
  <c r="AR41" i="8"/>
  <c r="AR59" i="8" s="1"/>
  <c r="N42" i="8"/>
  <c r="N60" i="8" s="1"/>
  <c r="V42" i="8"/>
  <c r="AD42" i="8"/>
  <c r="AL42" i="8"/>
  <c r="AL60" i="8" s="1"/>
  <c r="AT42" i="8"/>
  <c r="AK32" i="8"/>
  <c r="AK31" i="8"/>
  <c r="AO11" i="8"/>
  <c r="E41" i="8"/>
  <c r="E59" i="8" s="1"/>
  <c r="AS41" i="8"/>
  <c r="G42" i="8"/>
  <c r="G60" i="8" s="1"/>
  <c r="O42" i="8"/>
  <c r="O60" i="8" s="1"/>
  <c r="AM42" i="8"/>
  <c r="I29" i="8"/>
  <c r="I32" i="8" s="1"/>
  <c r="T29" i="8"/>
  <c r="AO29" i="8"/>
  <c r="G29" i="8"/>
  <c r="S29" i="8"/>
  <c r="AN29" i="8"/>
  <c r="G11" i="8"/>
  <c r="L11" i="8"/>
  <c r="W11" i="8"/>
  <c r="AB11" i="8"/>
  <c r="G12" i="8"/>
  <c r="L12" i="8"/>
  <c r="W12" i="8"/>
  <c r="AB12" i="8"/>
  <c r="AV12" i="8"/>
  <c r="AL18" i="8"/>
  <c r="AQ18" i="8"/>
  <c r="AL32" i="8"/>
  <c r="D41" i="8"/>
  <c r="W42" i="8"/>
  <c r="AM32" i="8"/>
  <c r="AM31" i="8"/>
  <c r="AM18" i="8"/>
  <c r="E12" i="8"/>
  <c r="E11" i="8"/>
  <c r="M29" i="8"/>
  <c r="M12" i="8"/>
  <c r="M11" i="8"/>
  <c r="U12" i="8"/>
  <c r="U11" i="8"/>
  <c r="AC29" i="8"/>
  <c r="AC12" i="8"/>
  <c r="AC11" i="8"/>
  <c r="J42" i="8"/>
  <c r="J60" i="8" s="1"/>
  <c r="R42" i="8"/>
  <c r="Z42" i="8"/>
  <c r="Z60" i="8" s="1"/>
  <c r="AH42" i="8"/>
  <c r="AP42" i="8"/>
  <c r="E29" i="8"/>
  <c r="P29" i="8"/>
  <c r="AR32" i="8"/>
  <c r="T41" i="8"/>
  <c r="T59" i="8" s="1"/>
  <c r="P11" i="8"/>
  <c r="Q41" i="8"/>
  <c r="S42" i="8"/>
  <c r="AA42" i="8"/>
  <c r="AI42" i="8"/>
  <c r="AQ42" i="8"/>
  <c r="AQ60" i="8" s="1"/>
  <c r="AE29" i="8"/>
  <c r="AS32" i="8"/>
  <c r="M41" i="8"/>
  <c r="X41" i="8"/>
  <c r="X59" i="8" s="1"/>
  <c r="F42" i="8"/>
  <c r="AE42" i="8"/>
  <c r="F29" i="8"/>
  <c r="J29" i="8"/>
  <c r="N29" i="8"/>
  <c r="R29" i="8"/>
  <c r="V29" i="8"/>
  <c r="Z29" i="8"/>
  <c r="AD29" i="8"/>
  <c r="J41" i="8"/>
  <c r="J59" i="8" s="1"/>
  <c r="N41" i="8"/>
  <c r="R41" i="8"/>
  <c r="Z41" i="8"/>
  <c r="AD41" i="8"/>
  <c r="AD59" i="8" s="1"/>
  <c r="AL41" i="8"/>
  <c r="AI41" i="8"/>
  <c r="AI59" i="8" s="1"/>
  <c r="AM41" i="8"/>
  <c r="AQ41" i="8"/>
  <c r="AQ59" i="8" s="1"/>
  <c r="I42" i="8"/>
  <c r="Q42" i="8"/>
  <c r="Y42" i="8"/>
  <c r="AC42" i="8"/>
  <c r="AC60" i="8" s="1"/>
  <c r="G41" i="8"/>
  <c r="W41" i="8"/>
  <c r="AK42" i="8"/>
  <c r="Y31" i="8" l="1"/>
  <c r="AO53" i="8"/>
  <c r="K51" i="8"/>
  <c r="Y53" i="8"/>
  <c r="AE53" i="8"/>
  <c r="AP53" i="8"/>
  <c r="X51" i="8"/>
  <c r="AK51" i="8"/>
  <c r="AK56" i="8"/>
  <c r="AK54" i="8"/>
  <c r="AK58" i="8"/>
  <c r="Y51" i="8"/>
  <c r="Y56" i="8"/>
  <c r="Y58" i="8"/>
  <c r="Y54" i="8"/>
  <c r="AM53" i="8"/>
  <c r="AM57" i="8"/>
  <c r="AM55" i="8"/>
  <c r="Z53" i="8"/>
  <c r="Z57" i="8"/>
  <c r="Z55" i="8"/>
  <c r="F51" i="8"/>
  <c r="F54" i="8"/>
  <c r="F58" i="8"/>
  <c r="F56" i="8"/>
  <c r="S58" i="8"/>
  <c r="S54" i="8"/>
  <c r="S56" i="8"/>
  <c r="AH58" i="8"/>
  <c r="AH54" i="8"/>
  <c r="AH56" i="8"/>
  <c r="AS55" i="8"/>
  <c r="AS57" i="8"/>
  <c r="AD51" i="8"/>
  <c r="AD58" i="8"/>
  <c r="AD54" i="8"/>
  <c r="AD56" i="8"/>
  <c r="S60" i="8"/>
  <c r="AT57" i="8"/>
  <c r="AT55" i="8"/>
  <c r="AS59" i="8"/>
  <c r="AK57" i="8"/>
  <c r="AK55" i="8"/>
  <c r="AC55" i="8"/>
  <c r="AC57" i="8"/>
  <c r="U55" i="8"/>
  <c r="U57" i="8"/>
  <c r="I57" i="8"/>
  <c r="I55" i="8"/>
  <c r="W57" i="8"/>
  <c r="W55" i="8"/>
  <c r="Q56" i="8"/>
  <c r="Q54" i="8"/>
  <c r="Q58" i="8"/>
  <c r="AI53" i="8"/>
  <c r="AI55" i="8"/>
  <c r="AI57" i="8"/>
  <c r="R57" i="8"/>
  <c r="R55" i="8"/>
  <c r="X53" i="8"/>
  <c r="X55" i="8"/>
  <c r="X57" i="8"/>
  <c r="AQ58" i="8"/>
  <c r="AQ54" i="8"/>
  <c r="AQ56" i="8"/>
  <c r="Q53" i="8"/>
  <c r="Q57" i="8"/>
  <c r="Q55" i="8"/>
  <c r="Z51" i="8"/>
  <c r="Z56" i="8"/>
  <c r="Z54" i="8"/>
  <c r="Z58" i="8"/>
  <c r="W51" i="8"/>
  <c r="W58" i="8"/>
  <c r="W54" i="8"/>
  <c r="W56" i="8"/>
  <c r="W60" i="8"/>
  <c r="AM58" i="8"/>
  <c r="AM54" i="8"/>
  <c r="AM56" i="8"/>
  <c r="U43" i="8"/>
  <c r="U46" i="8" s="1"/>
  <c r="V56" i="8"/>
  <c r="V58" i="8"/>
  <c r="V54" i="8"/>
  <c r="AN55" i="8"/>
  <c r="AN57" i="8"/>
  <c r="AG56" i="8"/>
  <c r="AG58" i="8"/>
  <c r="AG54" i="8"/>
  <c r="U53" i="8"/>
  <c r="AS56" i="8"/>
  <c r="AS54" i="8"/>
  <c r="AS58" i="8"/>
  <c r="S53" i="8"/>
  <c r="S55" i="8"/>
  <c r="S57" i="8"/>
  <c r="K55" i="8"/>
  <c r="K57" i="8"/>
  <c r="AR58" i="8"/>
  <c r="AR56" i="8"/>
  <c r="AR54" i="8"/>
  <c r="AJ51" i="8"/>
  <c r="AJ58" i="8"/>
  <c r="AJ56" i="8"/>
  <c r="AJ54" i="8"/>
  <c r="AB56" i="8"/>
  <c r="AB54" i="8"/>
  <c r="AB58" i="8"/>
  <c r="AH53" i="8"/>
  <c r="AH57" i="8"/>
  <c r="AH55" i="8"/>
  <c r="V53" i="8"/>
  <c r="V57" i="8"/>
  <c r="V55" i="8"/>
  <c r="AM60" i="8"/>
  <c r="M51" i="8"/>
  <c r="M56" i="8"/>
  <c r="M58" i="8"/>
  <c r="M54" i="8"/>
  <c r="Q59" i="8"/>
  <c r="AH60" i="8"/>
  <c r="T58" i="8"/>
  <c r="T56" i="8"/>
  <c r="T54" i="8"/>
  <c r="L58" i="8"/>
  <c r="L54" i="8"/>
  <c r="L56" i="8"/>
  <c r="AF53" i="8"/>
  <c r="AF55" i="8"/>
  <c r="AF57" i="8"/>
  <c r="H55" i="8"/>
  <c r="H57" i="8"/>
  <c r="G53" i="8"/>
  <c r="G57" i="8"/>
  <c r="G55" i="8"/>
  <c r="I51" i="8"/>
  <c r="I56" i="8"/>
  <c r="I58" i="8"/>
  <c r="I54" i="8"/>
  <c r="AL57" i="8"/>
  <c r="AL55" i="8"/>
  <c r="N53" i="8"/>
  <c r="N57" i="8"/>
  <c r="N55" i="8"/>
  <c r="M55" i="8"/>
  <c r="M57" i="8"/>
  <c r="AI58" i="8"/>
  <c r="AI54" i="8"/>
  <c r="AI56" i="8"/>
  <c r="R58" i="8"/>
  <c r="R54" i="8"/>
  <c r="R56" i="8"/>
  <c r="D53" i="8"/>
  <c r="D55" i="8"/>
  <c r="D57" i="8"/>
  <c r="O58" i="8"/>
  <c r="O54" i="8"/>
  <c r="O56" i="8"/>
  <c r="E57" i="8"/>
  <c r="E55" i="8"/>
  <c r="AT51" i="8"/>
  <c r="AT58" i="8"/>
  <c r="AT54" i="8"/>
  <c r="AT56" i="8"/>
  <c r="N51" i="8"/>
  <c r="N58" i="8"/>
  <c r="N56" i="8"/>
  <c r="N54" i="8"/>
  <c r="P53" i="8"/>
  <c r="P55" i="8"/>
  <c r="P57" i="8"/>
  <c r="D58" i="8"/>
  <c r="D56" i="8"/>
  <c r="D54" i="8"/>
  <c r="AH31" i="8"/>
  <c r="AU55" i="8"/>
  <c r="AU57" i="8"/>
  <c r="E51" i="8"/>
  <c r="E56" i="8"/>
  <c r="E54" i="8"/>
  <c r="E58" i="8"/>
  <c r="AF43" i="8"/>
  <c r="AB51" i="8"/>
  <c r="AK53" i="8"/>
  <c r="I53" i="8"/>
  <c r="AS51" i="8"/>
  <c r="AE57" i="8"/>
  <c r="AE55" i="8"/>
  <c r="G59" i="8"/>
  <c r="V60" i="8"/>
  <c r="F60" i="8"/>
  <c r="AP57" i="8"/>
  <c r="AP55" i="8"/>
  <c r="R59" i="8"/>
  <c r="F53" i="8"/>
  <c r="F57" i="8"/>
  <c r="F55" i="8"/>
  <c r="AI60" i="8"/>
  <c r="U51" i="8"/>
  <c r="U56" i="8"/>
  <c r="U54" i="8"/>
  <c r="U58" i="8"/>
  <c r="I60" i="8"/>
  <c r="AO55" i="8"/>
  <c r="AO57" i="8"/>
  <c r="AG53" i="8"/>
  <c r="AG57" i="8"/>
  <c r="AG55" i="8"/>
  <c r="Y57" i="8"/>
  <c r="Y55" i="8"/>
  <c r="M59" i="8"/>
  <c r="AT60" i="8"/>
  <c r="AD60" i="8"/>
  <c r="AN59" i="8"/>
  <c r="P59" i="8"/>
  <c r="D59" i="8"/>
  <c r="AC51" i="8"/>
  <c r="AC56" i="8"/>
  <c r="AC58" i="8"/>
  <c r="AC54" i="8"/>
  <c r="AQ53" i="8"/>
  <c r="AQ55" i="8"/>
  <c r="AQ57" i="8"/>
  <c r="AD57" i="8"/>
  <c r="AD55" i="8"/>
  <c r="J57" i="8"/>
  <c r="J55" i="8"/>
  <c r="AE58" i="8"/>
  <c r="AE54" i="8"/>
  <c r="AE56" i="8"/>
  <c r="AA58" i="8"/>
  <c r="AA54" i="8"/>
  <c r="AA56" i="8"/>
  <c r="AA60" i="8"/>
  <c r="T53" i="8"/>
  <c r="T55" i="8"/>
  <c r="T57" i="8"/>
  <c r="AP56" i="8"/>
  <c r="AP54" i="8"/>
  <c r="AP58" i="8"/>
  <c r="J51" i="8"/>
  <c r="J56" i="8"/>
  <c r="J54" i="8"/>
  <c r="J58" i="8"/>
  <c r="G51" i="8"/>
  <c r="G58" i="8"/>
  <c r="G54" i="8"/>
  <c r="G56" i="8"/>
  <c r="AL54" i="8"/>
  <c r="AL56" i="8"/>
  <c r="AL58" i="8"/>
  <c r="AR55" i="8"/>
  <c r="AR57" i="8"/>
  <c r="L55" i="8"/>
  <c r="L57" i="8"/>
  <c r="K43" i="8"/>
  <c r="K45" i="8" s="1"/>
  <c r="AO51" i="8"/>
  <c r="AO56" i="8"/>
  <c r="AO58" i="8"/>
  <c r="AO54" i="8"/>
  <c r="AU51" i="8"/>
  <c r="AU58" i="8"/>
  <c r="AU54" i="8"/>
  <c r="AU56" i="8"/>
  <c r="AJ53" i="8"/>
  <c r="AJ55" i="8"/>
  <c r="AJ57" i="8"/>
  <c r="AR51" i="8"/>
  <c r="AT53" i="8"/>
  <c r="AC53" i="8"/>
  <c r="T51" i="8"/>
  <c r="K53" i="8"/>
  <c r="AK60" i="8"/>
  <c r="X54" i="8"/>
  <c r="X58" i="8"/>
  <c r="X56" i="8"/>
  <c r="K58" i="8"/>
  <c r="K54" i="8"/>
  <c r="K56" i="8"/>
  <c r="AM59" i="8"/>
  <c r="W59" i="8"/>
  <c r="O55" i="8"/>
  <c r="O57" i="8"/>
  <c r="AN58" i="8"/>
  <c r="AN54" i="8"/>
  <c r="AN56" i="8"/>
  <c r="AF54" i="8"/>
  <c r="AF58" i="8"/>
  <c r="AF56" i="8"/>
  <c r="R60" i="8"/>
  <c r="AT59" i="8"/>
  <c r="AL59" i="8"/>
  <c r="Z59" i="8"/>
  <c r="N59" i="8"/>
  <c r="AU60" i="8"/>
  <c r="AE60" i="8"/>
  <c r="Q60" i="8"/>
  <c r="E60" i="8"/>
  <c r="AK59" i="8"/>
  <c r="AC59" i="8"/>
  <c r="U59" i="8"/>
  <c r="I59" i="8"/>
  <c r="AP60" i="8"/>
  <c r="Y60" i="8"/>
  <c r="P51" i="8"/>
  <c r="P54" i="8"/>
  <c r="P58" i="8"/>
  <c r="P56" i="8"/>
  <c r="H51" i="8"/>
  <c r="H58" i="8"/>
  <c r="H56" i="8"/>
  <c r="H54" i="8"/>
  <c r="AJ59" i="8"/>
  <c r="AB53" i="8"/>
  <c r="AB55" i="8"/>
  <c r="AB57" i="8"/>
  <c r="L59" i="8"/>
  <c r="AA51" i="8"/>
  <c r="AP43" i="8"/>
  <c r="AP45" i="8" s="1"/>
  <c r="AP51" i="8"/>
  <c r="S43" i="8"/>
  <c r="S46" i="8" s="1"/>
  <c r="S51" i="8"/>
  <c r="AH51" i="8"/>
  <c r="O51" i="8"/>
  <c r="W53" i="8"/>
  <c r="Q51" i="8"/>
  <c r="AQ51" i="8"/>
  <c r="V51" i="8"/>
  <c r="AN53" i="8"/>
  <c r="AG51" i="8"/>
  <c r="AU53" i="8"/>
  <c r="AM51" i="8"/>
  <c r="E53" i="8"/>
  <c r="AL51" i="8"/>
  <c r="AR53" i="8"/>
  <c r="L53" i="8"/>
  <c r="AL53" i="8"/>
  <c r="R53" i="8"/>
  <c r="AD53" i="8"/>
  <c r="J53" i="8"/>
  <c r="AE51" i="8"/>
  <c r="M53" i="8"/>
  <c r="AI51" i="8"/>
  <c r="R51" i="8"/>
  <c r="AS53" i="8"/>
  <c r="D51" i="8"/>
  <c r="AG32" i="8"/>
  <c r="AF32" i="8"/>
  <c r="AF31" i="8"/>
  <c r="AJ43" i="8"/>
  <c r="AF45" i="8"/>
  <c r="AF46" i="8"/>
  <c r="AA43" i="8"/>
  <c r="AA45" i="8" s="1"/>
  <c r="K32" i="8"/>
  <c r="AJ31" i="8"/>
  <c r="H31" i="8"/>
  <c r="AQ31" i="8"/>
  <c r="AC43" i="8"/>
  <c r="AC45" i="8" s="1"/>
  <c r="AH43" i="8"/>
  <c r="AH45" i="8" s="1"/>
  <c r="Y43" i="8"/>
  <c r="Y46" i="8" s="1"/>
  <c r="I43" i="8"/>
  <c r="I46" i="8" s="1"/>
  <c r="AK43" i="8"/>
  <c r="AK45" i="8" s="1"/>
  <c r="F43" i="8"/>
  <c r="F45" i="8" s="1"/>
  <c r="AU43" i="8"/>
  <c r="AB32" i="8"/>
  <c r="U31" i="8"/>
  <c r="AO43" i="8"/>
  <c r="AO45" i="8" s="1"/>
  <c r="L32" i="8"/>
  <c r="X31" i="8"/>
  <c r="AQ43" i="8"/>
  <c r="Z32" i="8"/>
  <c r="Z31" i="8"/>
  <c r="M43" i="8"/>
  <c r="D32" i="8"/>
  <c r="D31" i="8"/>
  <c r="W43" i="8"/>
  <c r="AD43" i="8"/>
  <c r="R43" i="8"/>
  <c r="J43" i="8"/>
  <c r="V32" i="8"/>
  <c r="V31" i="8"/>
  <c r="F32" i="8"/>
  <c r="F31" i="8"/>
  <c r="AG43" i="8"/>
  <c r="P31" i="8"/>
  <c r="P32" i="8"/>
  <c r="AC32" i="8"/>
  <c r="AC31" i="8"/>
  <c r="E43" i="8"/>
  <c r="L43" i="8"/>
  <c r="G43" i="8"/>
  <c r="AM43" i="8"/>
  <c r="V43" i="8"/>
  <c r="AL43" i="8"/>
  <c r="Z43" i="8"/>
  <c r="N43" i="8"/>
  <c r="AD32" i="8"/>
  <c r="AD31" i="8"/>
  <c r="N32" i="8"/>
  <c r="N31" i="8"/>
  <c r="X43" i="8"/>
  <c r="AE32" i="8"/>
  <c r="AE31" i="8"/>
  <c r="H43" i="8"/>
  <c r="AT43" i="8"/>
  <c r="AV32" i="8"/>
  <c r="AV31" i="8"/>
  <c r="G31" i="8"/>
  <c r="G32" i="8"/>
  <c r="T32" i="8"/>
  <c r="T31" i="8"/>
  <c r="P43" i="8"/>
  <c r="O32" i="8"/>
  <c r="O31" i="8"/>
  <c r="AI43" i="8"/>
  <c r="F46" i="8"/>
  <c r="J32" i="8"/>
  <c r="J31" i="8"/>
  <c r="Q43" i="8"/>
  <c r="AA31" i="8"/>
  <c r="AA32" i="8"/>
  <c r="AB43" i="8"/>
  <c r="AN31" i="8"/>
  <c r="AN32" i="8"/>
  <c r="I31" i="8"/>
  <c r="AN43" i="8"/>
  <c r="D43" i="8"/>
  <c r="W32" i="8"/>
  <c r="W31" i="8"/>
  <c r="AS43" i="8"/>
  <c r="AR43" i="8"/>
  <c r="AP32" i="8"/>
  <c r="AP31" i="8"/>
  <c r="R32" i="8"/>
  <c r="R31" i="8"/>
  <c r="T43" i="8"/>
  <c r="E31" i="8"/>
  <c r="E32" i="8"/>
  <c r="M32" i="8"/>
  <c r="M31" i="8"/>
  <c r="O43" i="8"/>
  <c r="S32" i="8"/>
  <c r="S31" i="8"/>
  <c r="AO32" i="8"/>
  <c r="AO31" i="8"/>
  <c r="AE43" i="8"/>
  <c r="Q32" i="8"/>
  <c r="Q31" i="8"/>
  <c r="AJ46" i="8"/>
  <c r="AJ45" i="8"/>
  <c r="U45" i="8" l="1"/>
  <c r="S45" i="8"/>
  <c r="K46" i="8"/>
  <c r="AP46" i="8"/>
  <c r="AU46" i="8"/>
  <c r="AU45" i="8"/>
  <c r="AA46" i="8"/>
  <c r="AC46" i="8"/>
  <c r="I45" i="8"/>
  <c r="Y45" i="8"/>
  <c r="AH46" i="8"/>
  <c r="AK46" i="8"/>
  <c r="AO46" i="8"/>
  <c r="AB46" i="8"/>
  <c r="AB45" i="8"/>
  <c r="AL46" i="8"/>
  <c r="AL45" i="8"/>
  <c r="AD46" i="8"/>
  <c r="AD45" i="8"/>
  <c r="W46" i="8"/>
  <c r="W45" i="8"/>
  <c r="Q46" i="8"/>
  <c r="Q45" i="8"/>
  <c r="AM46" i="8"/>
  <c r="AM45" i="8"/>
  <c r="L46" i="8"/>
  <c r="L45" i="8"/>
  <c r="M46" i="8"/>
  <c r="M45" i="8"/>
  <c r="AQ45" i="8"/>
  <c r="AQ46" i="8"/>
  <c r="AE45" i="8"/>
  <c r="AE46" i="8"/>
  <c r="D45" i="8"/>
  <c r="D46" i="8"/>
  <c r="AT46" i="8"/>
  <c r="AT45" i="8"/>
  <c r="J45" i="8"/>
  <c r="J46" i="8"/>
  <c r="R46" i="8"/>
  <c r="R45" i="8"/>
  <c r="T45" i="8"/>
  <c r="T46" i="8"/>
  <c r="AS46" i="8"/>
  <c r="AS45" i="8"/>
  <c r="AN46" i="8"/>
  <c r="AN45" i="8"/>
  <c r="AI46" i="8"/>
  <c r="AI45" i="8"/>
  <c r="H46" i="8"/>
  <c r="H45" i="8"/>
  <c r="X46" i="8"/>
  <c r="X45" i="8"/>
  <c r="Z45" i="8"/>
  <c r="Z46" i="8"/>
  <c r="E46" i="8"/>
  <c r="E45" i="8"/>
  <c r="AG45" i="8"/>
  <c r="AG46" i="8"/>
  <c r="O45" i="8"/>
  <c r="O46" i="8"/>
  <c r="AR45" i="8"/>
  <c r="AR46" i="8"/>
  <c r="P46" i="8"/>
  <c r="P45" i="8"/>
  <c r="N46" i="8"/>
  <c r="N45" i="8"/>
  <c r="V45" i="8"/>
  <c r="V46" i="8"/>
  <c r="G46" i="8"/>
  <c r="G45" i="8"/>
  <c r="O35" i="6" l="1"/>
  <c r="O34" i="6"/>
  <c r="O33" i="6"/>
  <c r="O32" i="6"/>
  <c r="J29" i="4"/>
  <c r="AB47" i="5" l="1"/>
  <c r="AB46" i="5"/>
  <c r="AB45" i="5"/>
  <c r="AB44" i="5"/>
  <c r="AB43" i="5"/>
  <c r="AB42" i="5"/>
  <c r="AB41" i="5"/>
  <c r="AB40" i="5"/>
  <c r="AB38" i="5"/>
  <c r="AB37" i="5"/>
  <c r="AB36" i="5"/>
  <c r="AB35" i="5"/>
  <c r="AB34" i="5"/>
  <c r="AB33" i="5"/>
  <c r="AB32" i="5"/>
  <c r="AB31" i="5"/>
  <c r="AB30" i="5"/>
  <c r="AB29" i="5"/>
  <c r="AB28" i="5"/>
  <c r="AB27" i="5"/>
  <c r="AB26" i="5"/>
  <c r="AB25" i="5"/>
  <c r="AB24" i="5"/>
  <c r="AB23" i="5"/>
  <c r="AB22" i="5"/>
  <c r="AB21" i="5"/>
  <c r="AB20" i="5"/>
  <c r="AB19" i="5"/>
  <c r="AB18" i="5"/>
  <c r="AB17" i="5"/>
  <c r="AB16" i="5"/>
  <c r="AB15" i="5"/>
  <c r="AB14" i="5"/>
  <c r="AB13" i="5"/>
  <c r="AB12" i="5"/>
  <c r="AB11" i="5"/>
  <c r="AB10" i="5"/>
  <c r="AB9" i="5"/>
  <c r="AB8" i="5"/>
  <c r="AB7" i="5"/>
  <c r="AS25" i="4"/>
  <c r="AR55" i="4"/>
  <c r="AR25" i="4"/>
  <c r="AS46" i="1"/>
  <c r="AS42" i="1"/>
  <c r="AS35" i="1"/>
  <c r="AS11" i="1"/>
  <c r="AS8" i="1"/>
  <c r="BR8" i="5"/>
  <c r="BR10" i="5"/>
  <c r="BR11" i="5"/>
  <c r="BR13" i="5"/>
  <c r="BR14" i="5"/>
  <c r="BR15" i="5"/>
  <c r="BR17" i="5"/>
  <c r="BR18" i="5"/>
  <c r="BR19" i="5"/>
  <c r="BR20" i="5"/>
  <c r="BR21" i="5"/>
  <c r="BR22" i="5"/>
  <c r="BR24" i="5"/>
  <c r="BR25" i="5"/>
  <c r="BR26" i="5"/>
  <c r="BR27" i="5"/>
  <c r="BR28" i="5"/>
  <c r="BR30" i="5"/>
  <c r="BR31" i="5"/>
  <c r="BR32" i="5"/>
  <c r="BR33" i="5"/>
  <c r="BR34" i="5"/>
  <c r="BR35" i="5"/>
  <c r="BR37" i="5"/>
  <c r="BR38" i="5"/>
  <c r="BR40" i="5"/>
  <c r="BR42" i="5"/>
  <c r="BR44" i="5"/>
  <c r="BR46" i="5"/>
  <c r="BR7" i="5"/>
  <c r="BQ47" i="5"/>
  <c r="BQ43" i="5"/>
  <c r="BQ36" i="5"/>
  <c r="BQ12" i="5"/>
  <c r="BQ9" i="5"/>
  <c r="BT8" i="5"/>
  <c r="BT10" i="5"/>
  <c r="BT11" i="5"/>
  <c r="BT13" i="5"/>
  <c r="BT14" i="5"/>
  <c r="BT15" i="5"/>
  <c r="BT17" i="5"/>
  <c r="BT18" i="5"/>
  <c r="BT19" i="5"/>
  <c r="BT20" i="5"/>
  <c r="BT21" i="5"/>
  <c r="BT24" i="5"/>
  <c r="BT25" i="5"/>
  <c r="BT26" i="5"/>
  <c r="BT27" i="5"/>
  <c r="BT28" i="5"/>
  <c r="BT30" i="5"/>
  <c r="BT31" i="5"/>
  <c r="BT32" i="5"/>
  <c r="BT33" i="5"/>
  <c r="BT34" i="5"/>
  <c r="BT35" i="5"/>
  <c r="BT37" i="5"/>
  <c r="BT38" i="5"/>
  <c r="BT40" i="5"/>
  <c r="BT42" i="5"/>
  <c r="BT44" i="5"/>
  <c r="BT46" i="5"/>
  <c r="BT7" i="5"/>
  <c r="BS29" i="5"/>
  <c r="BR29" i="5" s="1"/>
  <c r="BS23" i="5"/>
  <c r="BR23" i="5" s="1"/>
  <c r="BS16" i="5"/>
  <c r="BR16" i="5" s="1"/>
  <c r="BS12" i="5"/>
  <c r="BR12" i="5" s="1"/>
  <c r="BS9" i="5"/>
  <c r="BR9" i="5" s="1"/>
  <c r="AR22" i="1"/>
  <c r="AR15" i="1"/>
  <c r="AR28" i="1"/>
  <c r="AR35" i="1" s="1"/>
  <c r="AR40" i="1" s="1"/>
  <c r="AR42" i="1" s="1"/>
  <c r="AR44" i="1" s="1"/>
  <c r="AR46" i="1" s="1"/>
  <c r="AR11" i="1"/>
  <c r="AR8" i="1"/>
  <c r="BV19" i="5"/>
  <c r="BV20" i="5"/>
  <c r="BV21" i="5"/>
  <c r="BV24" i="5"/>
  <c r="BV25" i="5"/>
  <c r="BV26" i="5"/>
  <c r="BV27" i="5"/>
  <c r="BV28" i="5"/>
  <c r="BV30" i="5"/>
  <c r="BV31" i="5"/>
  <c r="BV32" i="5"/>
  <c r="BV33" i="5"/>
  <c r="BV34" i="5"/>
  <c r="BV35" i="5"/>
  <c r="BV37" i="5"/>
  <c r="BV38" i="5"/>
  <c r="BV40" i="5"/>
  <c r="BV42" i="5"/>
  <c r="BV44" i="5"/>
  <c r="BV46" i="5"/>
  <c r="BV8" i="5"/>
  <c r="BV10" i="5"/>
  <c r="BV11" i="5"/>
  <c r="BV13" i="5"/>
  <c r="BV14" i="5"/>
  <c r="BV15" i="5"/>
  <c r="BV17" i="5"/>
  <c r="BV18" i="5"/>
  <c r="BV7" i="5"/>
  <c r="BU29" i="5"/>
  <c r="BV29" i="5" s="1"/>
  <c r="BU23" i="5"/>
  <c r="BV23" i="5" s="1"/>
  <c r="BU16" i="5"/>
  <c r="BU9" i="5"/>
  <c r="BV9" i="5" s="1"/>
  <c r="BU12" i="5"/>
  <c r="BT12" i="5" s="1"/>
  <c r="AQ22" i="1"/>
  <c r="AQ28" i="1"/>
  <c r="AQ35" i="1" s="1"/>
  <c r="AQ40" i="1" s="1"/>
  <c r="AQ42" i="1" s="1"/>
  <c r="AQ44" i="1" s="1"/>
  <c r="AQ46" i="1" s="1"/>
  <c r="AQ15" i="1"/>
  <c r="AQ8" i="1"/>
  <c r="AQ11" i="1"/>
  <c r="BK19" i="5"/>
  <c r="BK26" i="5"/>
  <c r="BK28" i="5"/>
  <c r="BK44" i="5"/>
  <c r="BJ29" i="5"/>
  <c r="BJ36" i="5" s="1"/>
  <c r="BJ41" i="5" s="1"/>
  <c r="BJ23" i="5"/>
  <c r="BJ12" i="5"/>
  <c r="BJ9" i="5"/>
  <c r="BJ16" i="5"/>
  <c r="AO22" i="1"/>
  <c r="AO28" i="1"/>
  <c r="AO35" i="1" s="1"/>
  <c r="AO40" i="1" s="1"/>
  <c r="AO42" i="1" s="1"/>
  <c r="AO44" i="1" s="1"/>
  <c r="AO46" i="1" s="1"/>
  <c r="AO15" i="1"/>
  <c r="AO11" i="1"/>
  <c r="AO8" i="1"/>
  <c r="BM19" i="5"/>
  <c r="BM26" i="5"/>
  <c r="BM28" i="5"/>
  <c r="BL42" i="5"/>
  <c r="BK42" i="5" s="1"/>
  <c r="BL46" i="5"/>
  <c r="BL40" i="5"/>
  <c r="BK40" i="5"/>
  <c r="BL38" i="5"/>
  <c r="BK38" i="5" s="1"/>
  <c r="BL37" i="5"/>
  <c r="BK37" i="5" s="1"/>
  <c r="BL30" i="5"/>
  <c r="BK30" i="5" s="1"/>
  <c r="BL31" i="5"/>
  <c r="BK31" i="5" s="1"/>
  <c r="BL32" i="5"/>
  <c r="BK32" i="5" s="1"/>
  <c r="BL33" i="5"/>
  <c r="BK33" i="5" s="1"/>
  <c r="BL34" i="5"/>
  <c r="BK34" i="5" s="1"/>
  <c r="BL35" i="5"/>
  <c r="BK35" i="5" s="1"/>
  <c r="BL25" i="5"/>
  <c r="BL24" i="5"/>
  <c r="BK24" i="5" s="1"/>
  <c r="BL27" i="5"/>
  <c r="BK27" i="5" s="1"/>
  <c r="BL10" i="5"/>
  <c r="BK10" i="5" s="1"/>
  <c r="BL11" i="5"/>
  <c r="BL7" i="5"/>
  <c r="BK7" i="5" s="1"/>
  <c r="BL8" i="5"/>
  <c r="BL13" i="5"/>
  <c r="BK13" i="5"/>
  <c r="BL14" i="5"/>
  <c r="BK14" i="5" s="1"/>
  <c r="BL15" i="5"/>
  <c r="BK15" i="5" s="1"/>
  <c r="BL17" i="5"/>
  <c r="BL18" i="5"/>
  <c r="BK18" i="5" s="1"/>
  <c r="BL20" i="5"/>
  <c r="BK20" i="5" s="1"/>
  <c r="BL21" i="5"/>
  <c r="BK21" i="5" s="1"/>
  <c r="AN29" i="1"/>
  <c r="AN28" i="1" s="1"/>
  <c r="AN30" i="1"/>
  <c r="AN31" i="1"/>
  <c r="AN32" i="1"/>
  <c r="AN33" i="1"/>
  <c r="AN34" i="1"/>
  <c r="AN36" i="1"/>
  <c r="AN37" i="1"/>
  <c r="AN39" i="1"/>
  <c r="AN41" i="1"/>
  <c r="AN42" i="1" s="1"/>
  <c r="AN44" i="1" s="1"/>
  <c r="AN45" i="1"/>
  <c r="AN26" i="1"/>
  <c r="AN24" i="1"/>
  <c r="AN23" i="1"/>
  <c r="AN19" i="1"/>
  <c r="AN20" i="1"/>
  <c r="AN17" i="1"/>
  <c r="AN16" i="1"/>
  <c r="AN14" i="1"/>
  <c r="AN13" i="1"/>
  <c r="AN12" i="1"/>
  <c r="AN9" i="1"/>
  <c r="AN10" i="1"/>
  <c r="AN6" i="1"/>
  <c r="AN7" i="1"/>
  <c r="BO19" i="5"/>
  <c r="BO26" i="5"/>
  <c r="BO28" i="5"/>
  <c r="BN30" i="5"/>
  <c r="BN31" i="5"/>
  <c r="BM31" i="5" s="1"/>
  <c r="BN32" i="5"/>
  <c r="BN33" i="5"/>
  <c r="BN34" i="5"/>
  <c r="BO34" i="5" s="1"/>
  <c r="BN35" i="5"/>
  <c r="BM35" i="5" s="1"/>
  <c r="BN37" i="5"/>
  <c r="BO37" i="5" s="1"/>
  <c r="BM37" i="5"/>
  <c r="BN38" i="5"/>
  <c r="BO38" i="5" s="1"/>
  <c r="BN40" i="5"/>
  <c r="BO40" i="5" s="1"/>
  <c r="BN42" i="5"/>
  <c r="BN44" i="5"/>
  <c r="BO44" i="5" s="1"/>
  <c r="BM44" i="5"/>
  <c r="BN46" i="5"/>
  <c r="BO46" i="5" s="1"/>
  <c r="BN27" i="5"/>
  <c r="BN25" i="5"/>
  <c r="BN24" i="5"/>
  <c r="BM24" i="5" s="1"/>
  <c r="BN10" i="5"/>
  <c r="BO10" i="5" s="1"/>
  <c r="BN11" i="5"/>
  <c r="BO11" i="5"/>
  <c r="BN7" i="5"/>
  <c r="BM7" i="5" s="1"/>
  <c r="BN8" i="5"/>
  <c r="BN13" i="5"/>
  <c r="BO13" i="5" s="1"/>
  <c r="BN14" i="5"/>
  <c r="BM14" i="5" s="1"/>
  <c r="BN15" i="5"/>
  <c r="BM15" i="5" s="1"/>
  <c r="BN17" i="5"/>
  <c r="BO17" i="5" s="1"/>
  <c r="BN18" i="5"/>
  <c r="BO18" i="5" s="1"/>
  <c r="BN20" i="5"/>
  <c r="BN16" i="5" s="1"/>
  <c r="BN21" i="5"/>
  <c r="AM29" i="1"/>
  <c r="AM30" i="1"/>
  <c r="AM31" i="1"/>
  <c r="AM32" i="1"/>
  <c r="AM33" i="1"/>
  <c r="AM34" i="1"/>
  <c r="AM36" i="1"/>
  <c r="AM37" i="1"/>
  <c r="AM39" i="1"/>
  <c r="AM41" i="1"/>
  <c r="AM43" i="1"/>
  <c r="AM45" i="1"/>
  <c r="AM26" i="1"/>
  <c r="AM24" i="1"/>
  <c r="AM23" i="1"/>
  <c r="AM22" i="1" s="1"/>
  <c r="AM9" i="1"/>
  <c r="AM10" i="1"/>
  <c r="AM6" i="1"/>
  <c r="AM7" i="1"/>
  <c r="AM12" i="1"/>
  <c r="AM13" i="1"/>
  <c r="AM14" i="1"/>
  <c r="AM16" i="1"/>
  <c r="AM17" i="1"/>
  <c r="AM19" i="1"/>
  <c r="AM20" i="1"/>
  <c r="BP30" i="5"/>
  <c r="BP31" i="5"/>
  <c r="BO31" i="5"/>
  <c r="BP23" i="5"/>
  <c r="BP12" i="5"/>
  <c r="BP9" i="5"/>
  <c r="BP16" i="5"/>
  <c r="AL22" i="1"/>
  <c r="AL29" i="1"/>
  <c r="AL28" i="1" s="1"/>
  <c r="AL35" i="1" s="1"/>
  <c r="AL40" i="1" s="1"/>
  <c r="AL42" i="1" s="1"/>
  <c r="AL44" i="1" s="1"/>
  <c r="AL46" i="1" s="1"/>
  <c r="AL30" i="1"/>
  <c r="AL15" i="1"/>
  <c r="AL11" i="1"/>
  <c r="AL8" i="1"/>
  <c r="AL39" i="4"/>
  <c r="AL38" i="4" s="1"/>
  <c r="AL55" i="4" s="1"/>
  <c r="AL20" i="4"/>
  <c r="AL19" i="4"/>
  <c r="AL24" i="4"/>
  <c r="BI26" i="5"/>
  <c r="BI7" i="5"/>
  <c r="BI8" i="5"/>
  <c r="BC9" i="5"/>
  <c r="BD9" i="5"/>
  <c r="BF9" i="5"/>
  <c r="BH9" i="5"/>
  <c r="BI10" i="5"/>
  <c r="BI11" i="5"/>
  <c r="BC12" i="5"/>
  <c r="BD12" i="5"/>
  <c r="BF12" i="5"/>
  <c r="BH12" i="5"/>
  <c r="BI13" i="5"/>
  <c r="BI14" i="5"/>
  <c r="BI15" i="5"/>
  <c r="BC16" i="5"/>
  <c r="BD16" i="5"/>
  <c r="BF16" i="5"/>
  <c r="BH16" i="5"/>
  <c r="BI17" i="5"/>
  <c r="BI18" i="5"/>
  <c r="BI19" i="5"/>
  <c r="BI20" i="5"/>
  <c r="BI21" i="5"/>
  <c r="BC23" i="5"/>
  <c r="BD23" i="5"/>
  <c r="BF23" i="5"/>
  <c r="BH23" i="5"/>
  <c r="BI24" i="5"/>
  <c r="BI25" i="5"/>
  <c r="BI27" i="5"/>
  <c r="BC30" i="5"/>
  <c r="BD30" i="5" s="1"/>
  <c r="BF30" i="5" s="1"/>
  <c r="BH30" i="5" s="1"/>
  <c r="BC31" i="5"/>
  <c r="BD31" i="5"/>
  <c r="BF31" i="5" s="1"/>
  <c r="BH31" i="5" s="1"/>
  <c r="BI32" i="5"/>
  <c r="BI33" i="5"/>
  <c r="BI34" i="5"/>
  <c r="BI35" i="5"/>
  <c r="BI37" i="5"/>
  <c r="BI38" i="5"/>
  <c r="BI40" i="5"/>
  <c r="BI42" i="5"/>
  <c r="BI44" i="5"/>
  <c r="BI46" i="5"/>
  <c r="AG29" i="4"/>
  <c r="AH29" i="4"/>
  <c r="AH38" i="4"/>
  <c r="AH44" i="4"/>
  <c r="BO25" i="5"/>
  <c r="BC29" i="5"/>
  <c r="BC36" i="5" s="1"/>
  <c r="BO27" i="5"/>
  <c r="BM18" i="5"/>
  <c r="BV16" i="5"/>
  <c r="BV12" i="5"/>
  <c r="BO42" i="5"/>
  <c r="BO8" i="5"/>
  <c r="BL29" i="5"/>
  <c r="BK29" i="5" s="1"/>
  <c r="BS36" i="5"/>
  <c r="BR36" i="5" s="1"/>
  <c r="BO16" i="5" l="1"/>
  <c r="BN23" i="5"/>
  <c r="BM11" i="5"/>
  <c r="BL43" i="5"/>
  <c r="BL45" i="5" s="1"/>
  <c r="BM42" i="5"/>
  <c r="BM33" i="5"/>
  <c r="BM30" i="5"/>
  <c r="BL9" i="5"/>
  <c r="BK9" i="5" s="1"/>
  <c r="BO20" i="5"/>
  <c r="BO7" i="5"/>
  <c r="AM11" i="1"/>
  <c r="BM21" i="5"/>
  <c r="BM17" i="5"/>
  <c r="BM40" i="5"/>
  <c r="BL12" i="5"/>
  <c r="BK12" i="5" s="1"/>
  <c r="BM25" i="5"/>
  <c r="AN35" i="1"/>
  <c r="BL16" i="5"/>
  <c r="BK16" i="5" s="1"/>
  <c r="BM46" i="5"/>
  <c r="BM38" i="5"/>
  <c r="BT9" i="5"/>
  <c r="AM8" i="1"/>
  <c r="BM20" i="5"/>
  <c r="BM34" i="5"/>
  <c r="BM32" i="5"/>
  <c r="AN8" i="1"/>
  <c r="BK11" i="5"/>
  <c r="BL47" i="5"/>
  <c r="BO24" i="5"/>
  <c r="BO14" i="5"/>
  <c r="BD22" i="5"/>
  <c r="BD28" i="5" s="1"/>
  <c r="BM8" i="5"/>
  <c r="BM27" i="5"/>
  <c r="AO21" i="1"/>
  <c r="BU22" i="5"/>
  <c r="BT16" i="5"/>
  <c r="BO33" i="5"/>
  <c r="BO35" i="5"/>
  <c r="BI9" i="5"/>
  <c r="BP29" i="5"/>
  <c r="BP36" i="5" s="1"/>
  <c r="AM15" i="1"/>
  <c r="AM28" i="1"/>
  <c r="AM35" i="1" s="1"/>
  <c r="AM40" i="1" s="1"/>
  <c r="AM42" i="1" s="1"/>
  <c r="AM44" i="1" s="1"/>
  <c r="AM46" i="1" s="1"/>
  <c r="AN11" i="1"/>
  <c r="AN15" i="1"/>
  <c r="AN22" i="1"/>
  <c r="AN46" i="1"/>
  <c r="BK17" i="5"/>
  <c r="BK8" i="5"/>
  <c r="BK25" i="5"/>
  <c r="BK46" i="5"/>
  <c r="BJ43" i="5"/>
  <c r="BJ45" i="5" s="1"/>
  <c r="BK41" i="5"/>
  <c r="BL22" i="5"/>
  <c r="BM16" i="5"/>
  <c r="BO32" i="5"/>
  <c r="BF22" i="5"/>
  <c r="BF28" i="5" s="1"/>
  <c r="BI12" i="5"/>
  <c r="BS41" i="5"/>
  <c r="BN9" i="5"/>
  <c r="BN12" i="5"/>
  <c r="BD29" i="5"/>
  <c r="BD36" i="5" s="1"/>
  <c r="BO30" i="5"/>
  <c r="BM10" i="5"/>
  <c r="BO15" i="5"/>
  <c r="BO23" i="5"/>
  <c r="BN29" i="5"/>
  <c r="BN36" i="5" s="1"/>
  <c r="BH22" i="5"/>
  <c r="BH28" i="5" s="1"/>
  <c r="BO21" i="5"/>
  <c r="BM13" i="5"/>
  <c r="BM29" i="5"/>
  <c r="BH29" i="5"/>
  <c r="BH36" i="5" s="1"/>
  <c r="BT29" i="5"/>
  <c r="BC22" i="5"/>
  <c r="BL36" i="5"/>
  <c r="BK36" i="5" s="1"/>
  <c r="BL23" i="5"/>
  <c r="BK23" i="5" s="1"/>
  <c r="BF29" i="5"/>
  <c r="BF36" i="5" s="1"/>
  <c r="BI23" i="5"/>
  <c r="BP22" i="5"/>
  <c r="BJ22" i="5"/>
  <c r="AL25" i="4"/>
  <c r="AQ21" i="1"/>
  <c r="AL21" i="1"/>
  <c r="AH55" i="4"/>
  <c r="BC28" i="5"/>
  <c r="BT23" i="5"/>
  <c r="BI16" i="5"/>
  <c r="BU36" i="5"/>
  <c r="BD41" i="5" l="1"/>
  <c r="BD43" i="5" s="1"/>
  <c r="BD45" i="5" s="1"/>
  <c r="BD47" i="5" s="1"/>
  <c r="AM21" i="1"/>
  <c r="AN21" i="1"/>
  <c r="AN27" i="1" s="1"/>
  <c r="BO36" i="5"/>
  <c r="BM23" i="5"/>
  <c r="BI22" i="5"/>
  <c r="BT22" i="5"/>
  <c r="BV22" i="5"/>
  <c r="BK43" i="5"/>
  <c r="BP41" i="5"/>
  <c r="BP43" i="5" s="1"/>
  <c r="BI29" i="5"/>
  <c r="BF41" i="5"/>
  <c r="BF43" i="5" s="1"/>
  <c r="BF45" i="5" s="1"/>
  <c r="BF47" i="5" s="1"/>
  <c r="BH41" i="5"/>
  <c r="BH43" i="5" s="1"/>
  <c r="BH45" i="5" s="1"/>
  <c r="BH47" i="5" s="1"/>
  <c r="BM9" i="5"/>
  <c r="BO9" i="5"/>
  <c r="BK22" i="5"/>
  <c r="BM12" i="5"/>
  <c r="BN22" i="5"/>
  <c r="BM22" i="5" s="1"/>
  <c r="BO12" i="5"/>
  <c r="BN41" i="5"/>
  <c r="BM36" i="5"/>
  <c r="BR41" i="5"/>
  <c r="BS43" i="5"/>
  <c r="BI36" i="5"/>
  <c r="BO29" i="5"/>
  <c r="BK45" i="5"/>
  <c r="BJ47" i="5"/>
  <c r="BK47" i="5" s="1"/>
  <c r="BC41" i="5"/>
  <c r="BI28" i="5"/>
  <c r="BV36" i="5"/>
  <c r="BT36" i="5"/>
  <c r="BU41" i="5"/>
  <c r="BO22" i="5" l="1"/>
  <c r="BN43" i="5"/>
  <c r="BM41" i="5"/>
  <c r="BS45" i="5"/>
  <c r="BR43" i="5"/>
  <c r="BO41" i="5"/>
  <c r="BU43" i="5"/>
  <c r="BT41" i="5"/>
  <c r="BV41" i="5"/>
  <c r="BI41" i="5"/>
  <c r="BC43" i="5"/>
  <c r="BO43" i="5"/>
  <c r="BP45" i="5"/>
  <c r="BR45" i="5" l="1"/>
  <c r="BS47" i="5"/>
  <c r="BR47" i="5" s="1"/>
  <c r="BN45" i="5"/>
  <c r="BO45" i="5" s="1"/>
  <c r="BM43" i="5"/>
  <c r="BC45" i="5"/>
  <c r="BI43" i="5"/>
  <c r="BV43" i="5"/>
  <c r="BT43" i="5"/>
  <c r="BU45" i="5"/>
  <c r="BP47" i="5"/>
  <c r="BM45" i="5" l="1"/>
  <c r="BN47" i="5"/>
  <c r="BM47" i="5" s="1"/>
  <c r="BO47" i="5"/>
  <c r="BV45" i="5"/>
  <c r="BT45" i="5"/>
  <c r="BU47" i="5"/>
  <c r="BI45" i="5"/>
  <c r="BC47" i="5"/>
  <c r="BI47" i="5" s="1"/>
  <c r="BV47" i="5" l="1"/>
  <c r="BT47" i="5"/>
</calcChain>
</file>

<file path=xl/sharedStrings.xml><?xml version="1.0" encoding="utf-8"?>
<sst xmlns="http://schemas.openxmlformats.org/spreadsheetml/2006/main" count="1586" uniqueCount="601">
  <si>
    <t>Stato patrimoniale consolidato</t>
  </si>
  <si>
    <t>Voci dell’attivo</t>
  </si>
  <si>
    <t>31.03.2011</t>
  </si>
  <si>
    <t>31.12.2010</t>
  </si>
  <si>
    <t>10.</t>
  </si>
  <si>
    <t xml:space="preserve">Cassa e disponibilità liquide </t>
  </si>
  <si>
    <t>20.</t>
  </si>
  <si>
    <t>Attività finanziarie detenute per la negoziazione</t>
  </si>
  <si>
    <t>30.</t>
  </si>
  <si>
    <t>40.</t>
  </si>
  <si>
    <t>Attività finanziarie disponibili per la vendita</t>
  </si>
  <si>
    <t>50.</t>
  </si>
  <si>
    <t>Attività finanziarie detenute sino alla scadenza</t>
  </si>
  <si>
    <t>60.</t>
  </si>
  <si>
    <t>Crediti verso banche</t>
  </si>
  <si>
    <t>70.</t>
  </si>
  <si>
    <t>Crediti verso clientela</t>
  </si>
  <si>
    <t>80.</t>
  </si>
  <si>
    <t>Derivati di copertura</t>
  </si>
  <si>
    <t>100.</t>
  </si>
  <si>
    <t xml:space="preserve">Partecipazioni </t>
  </si>
  <si>
    <t>120.</t>
  </si>
  <si>
    <t>Attività materiali</t>
  </si>
  <si>
    <t>130.</t>
  </si>
  <si>
    <t>Attività immateriali</t>
  </si>
  <si>
    <t>140.</t>
  </si>
  <si>
    <t>Attività fiscali</t>
  </si>
  <si>
    <t>a) correnti</t>
  </si>
  <si>
    <t>b) anticipate</t>
  </si>
  <si>
    <t>150.</t>
  </si>
  <si>
    <t>Attività non correnti e gruppi di attività in via di dismissione</t>
  </si>
  <si>
    <t>160.</t>
  </si>
  <si>
    <t>Altre attività</t>
  </si>
  <si>
    <t>Totale dell’attivo</t>
  </si>
  <si>
    <t>Voci del passivo e del patrimonio netto</t>
  </si>
  <si>
    <t>Debiti verso banche</t>
  </si>
  <si>
    <t>Debiti verso clientela</t>
  </si>
  <si>
    <t xml:space="preserve">Titoli in circolazione </t>
  </si>
  <si>
    <t>Passività finanziarie di negoziazione</t>
  </si>
  <si>
    <t>Passività fiscali</t>
  </si>
  <si>
    <t>b) differite</t>
  </si>
  <si>
    <t>90.</t>
  </si>
  <si>
    <t>Passività associate ad attività in via di dismissione</t>
  </si>
  <si>
    <t>Altre passività</t>
  </si>
  <si>
    <t>110.</t>
  </si>
  <si>
    <t>Trattamento di fine rapporto del personale</t>
  </si>
  <si>
    <t>Fondi per rischi e oneri:</t>
  </si>
  <si>
    <t>a) quiescenza e obblighi simili</t>
  </si>
  <si>
    <t>b) altri fondi</t>
  </si>
  <si>
    <t xml:space="preserve">Riserve da valutazione </t>
  </si>
  <si>
    <t>170.</t>
  </si>
  <si>
    <t>Riserve</t>
  </si>
  <si>
    <t>180.</t>
  </si>
  <si>
    <t>Sovrapprezzi di emissione</t>
  </si>
  <si>
    <t>190.</t>
  </si>
  <si>
    <t>Capitale</t>
  </si>
  <si>
    <t>200.</t>
  </si>
  <si>
    <t xml:space="preserve">Azioni proprie </t>
  </si>
  <si>
    <t>210.</t>
  </si>
  <si>
    <t>Patrimonio di pertinenza di terzi</t>
  </si>
  <si>
    <t>220.</t>
  </si>
  <si>
    <t>Utile dell'esercizio</t>
  </si>
  <si>
    <t>Totale del passivo e del patrimonio netto</t>
  </si>
  <si>
    <t>Conto economico consolidato</t>
  </si>
  <si>
    <t xml:space="preserve">Voci </t>
  </si>
  <si>
    <t>31.03.2010</t>
  </si>
  <si>
    <t xml:space="preserve">Interessi attivi e proventi assimilati </t>
  </si>
  <si>
    <t xml:space="preserve">Interessi passivi e oneri assimilati </t>
  </si>
  <si>
    <t>Margine di interesse</t>
  </si>
  <si>
    <t>Commissioni attive</t>
  </si>
  <si>
    <t>Commissioni passive</t>
  </si>
  <si>
    <t>Commissioni nette</t>
  </si>
  <si>
    <t xml:space="preserve">Dividendi e proventi simili </t>
  </si>
  <si>
    <t xml:space="preserve">Risultato netto dell’attività di negoziazione </t>
  </si>
  <si>
    <t>Risultato netto dell'attività di copertura</t>
  </si>
  <si>
    <t xml:space="preserve">Utile (perdita) da cessione o riacquisto di: </t>
  </si>
  <si>
    <t>a) crediti</t>
  </si>
  <si>
    <t>b) attività finanziarie disponibili per la vendita</t>
  </si>
  <si>
    <t>c) attività finanziarie detenute sino alla scadenza</t>
  </si>
  <si>
    <t>d) passività finanziarie</t>
  </si>
  <si>
    <t>Margine di intermediazione</t>
  </si>
  <si>
    <t xml:space="preserve">Rettifiche/riprese di valore nette per deterioramento di: </t>
  </si>
  <si>
    <t>d) altre attività finanziarie</t>
  </si>
  <si>
    <t>Risultato netto della gestione finanziaria</t>
  </si>
  <si>
    <t xml:space="preserve">Spese amministrative: </t>
  </si>
  <si>
    <t>a) spese per il personale</t>
  </si>
  <si>
    <t>b) altre spese amministrative</t>
  </si>
  <si>
    <t>Accantonamenti netti ai fondi per rischi e oneri</t>
  </si>
  <si>
    <t xml:space="preserve">Rettifiche/riprese di valore nette su attività materiali </t>
  </si>
  <si>
    <t>Rettifiche/riprese di valore nette su attività immateriali</t>
  </si>
  <si>
    <t>Altri oneri/proventi di gestione</t>
  </si>
  <si>
    <t>230.</t>
  </si>
  <si>
    <t>Costi operativi</t>
  </si>
  <si>
    <t>240.</t>
  </si>
  <si>
    <t>Utili (perdite) delle partecipazioni</t>
  </si>
  <si>
    <t>260.</t>
  </si>
  <si>
    <t>Rettifiche di valore dell’avviamento</t>
  </si>
  <si>
    <t>270.</t>
  </si>
  <si>
    <t>Utili (perdite) da cessione di investimenti</t>
  </si>
  <si>
    <t>280.</t>
  </si>
  <si>
    <t xml:space="preserve">Utile della operatività corrente al lordo delle imposte </t>
  </si>
  <si>
    <t>290.</t>
  </si>
  <si>
    <t>Imposte sul reddito di esercizio dell’operatività corrente</t>
  </si>
  <si>
    <t>300.</t>
  </si>
  <si>
    <t>Utile della operatività corrente al netto delle imposte</t>
  </si>
  <si>
    <t>310.</t>
  </si>
  <si>
    <t>Utile (perdita) dei gruppi di attività in via di dismissione al netto delle imposte</t>
  </si>
  <si>
    <t>320.</t>
  </si>
  <si>
    <t>330.</t>
  </si>
  <si>
    <t>Utile dell'esercizio di pertinenza di terzi</t>
  </si>
  <si>
    <t>340.</t>
  </si>
  <si>
    <t>Utile dell'esercizio di pertinenza della capogruppo</t>
  </si>
  <si>
    <r>
      <t xml:space="preserve">Attività finanziarie valutate al </t>
    </r>
    <r>
      <rPr>
        <i/>
        <sz val="8.5"/>
        <color indexed="8"/>
        <rFont val="Arial"/>
        <family val="2"/>
      </rPr>
      <t xml:space="preserve">fair value </t>
    </r>
  </si>
  <si>
    <r>
      <t xml:space="preserve">Passività finanziarie valutate al </t>
    </r>
    <r>
      <rPr>
        <i/>
        <sz val="8.5"/>
        <color indexed="8"/>
        <rFont val="Arial"/>
        <family val="2"/>
      </rPr>
      <t>fair value</t>
    </r>
  </si>
  <si>
    <r>
      <t xml:space="preserve">Risultato netto delle attività e passività finanziarie                                        valutate al </t>
    </r>
    <r>
      <rPr>
        <i/>
        <sz val="8.5"/>
        <color indexed="8"/>
        <rFont val="Arial"/>
        <family val="2"/>
      </rPr>
      <t>fair value</t>
    </r>
  </si>
  <si>
    <t>30.09.2010</t>
  </si>
  <si>
    <t>30.06.2010</t>
  </si>
  <si>
    <t>2° trimestre 2010</t>
  </si>
  <si>
    <t>3° trimestre 2010</t>
  </si>
  <si>
    <t>4° trimestre 2010</t>
  </si>
  <si>
    <t>31.12. 2010</t>
  </si>
  <si>
    <t>a)</t>
  </si>
  <si>
    <t>crediti</t>
  </si>
  <si>
    <t>b)</t>
  </si>
  <si>
    <t>attività finanziarie disponibili per la vendita</t>
  </si>
  <si>
    <t>c)</t>
  </si>
  <si>
    <t>attività finanziarie detenute sino alla scadenza</t>
  </si>
  <si>
    <t>d)</t>
  </si>
  <si>
    <t>passività finanziarie</t>
  </si>
  <si>
    <t>d) altre operazioni finanziarie</t>
  </si>
  <si>
    <t xml:space="preserve">Utili (perdite) delle partecipazioni </t>
  </si>
  <si>
    <t>Rettifiche di valore dell'avviamento</t>
  </si>
  <si>
    <t xml:space="preserve">Utile (perdita) della operatività corrente al lordo delle imposte </t>
  </si>
  <si>
    <t>Imposte sul reddito di periodo dell’operatività corrente</t>
  </si>
  <si>
    <t>Utile (perdita) della operatività corrente al netto delle imposte</t>
  </si>
  <si>
    <t>Utile (perdita) di periodo</t>
  </si>
  <si>
    <t>Utile (perdita) di periodo di pertinenza di terzi</t>
  </si>
  <si>
    <t>Utile (perdita) di periodo di pertinenza della capogruppo</t>
  </si>
  <si>
    <r>
      <t>Risultato netto delle attività e passività finanziarie valutate al</t>
    </r>
    <r>
      <rPr>
        <i/>
        <sz val="8.5"/>
        <color indexed="8"/>
        <rFont val="Arial"/>
        <family val="2"/>
      </rPr>
      <t xml:space="preserve"> fair value</t>
    </r>
  </si>
  <si>
    <t>Conto economico trimestralizzato consolidato</t>
  </si>
  <si>
    <t>2° trimestre 2011</t>
  </si>
  <si>
    <t>30.06.2011</t>
  </si>
  <si>
    <t>31.12.2009</t>
  </si>
  <si>
    <t>30.09.2009</t>
  </si>
  <si>
    <t>30.06.2009</t>
  </si>
  <si>
    <t>31.03.2009</t>
  </si>
  <si>
    <t>2° trimestre 2009</t>
  </si>
  <si>
    <t>3° trimestre 2009</t>
  </si>
  <si>
    <t>4° trimestre 2009</t>
  </si>
  <si>
    <t>31.12. 2009</t>
  </si>
  <si>
    <t>31.12.2008</t>
  </si>
  <si>
    <t>30.09.2008</t>
  </si>
  <si>
    <t>31.03.2008</t>
  </si>
  <si>
    <t>30.06.2008</t>
  </si>
  <si>
    <t>2° trimestre 2008</t>
  </si>
  <si>
    <t>3° trimestre 2008</t>
  </si>
  <si>
    <t>4° trimestre 2008</t>
  </si>
  <si>
    <t>31.12. 2008</t>
  </si>
  <si>
    <t>30.09.2011</t>
  </si>
  <si>
    <t>Adeguamento di valore di attività oggetto di copertura generica</t>
  </si>
  <si>
    <t>3° trimestre 2011</t>
  </si>
  <si>
    <t>31.12.2011</t>
  </si>
  <si>
    <t>4° trimestre 2011</t>
  </si>
  <si>
    <t>31.12.2012</t>
  </si>
  <si>
    <t>4° trimestre 2012</t>
  </si>
  <si>
    <t>3° trimestre 2012</t>
  </si>
  <si>
    <t>31.03.2012</t>
  </si>
  <si>
    <t>30.06.2012</t>
  </si>
  <si>
    <t>30.09.2012</t>
  </si>
  <si>
    <t>2° trimestre 2012</t>
  </si>
  <si>
    <t>b1) di cui alla Legge 214/2011</t>
  </si>
  <si>
    <t>31.12.2013</t>
  </si>
  <si>
    <t>30.09.2013</t>
  </si>
  <si>
    <t>30.06.2013</t>
  </si>
  <si>
    <t>31.03.2013</t>
  </si>
  <si>
    <t>2° trimestre 2013</t>
  </si>
  <si>
    <t>3° trimestre 2013</t>
  </si>
  <si>
    <t>4° trimestre 2013</t>
  </si>
  <si>
    <t>30.09.2014</t>
  </si>
  <si>
    <t>30.06.2014</t>
  </si>
  <si>
    <t>31.03.2014</t>
  </si>
  <si>
    <t>2° trimestre 2014</t>
  </si>
  <si>
    <t>3° trimestre 2014</t>
  </si>
  <si>
    <t>31.12.2014</t>
  </si>
  <si>
    <t>4° trimestre 2014</t>
  </si>
  <si>
    <t>30.06.2015</t>
  </si>
  <si>
    <t>31.03.2015</t>
  </si>
  <si>
    <t>Voci</t>
  </si>
  <si>
    <t>10+20</t>
  </si>
  <si>
    <t>40+50</t>
  </si>
  <si>
    <t>70</t>
  </si>
  <si>
    <t>80+90+100+110</t>
  </si>
  <si>
    <t>180 a)</t>
  </si>
  <si>
    <t>210 + 220</t>
  </si>
  <si>
    <t>130 a)</t>
  </si>
  <si>
    <t>130 b)+c)</t>
  </si>
  <si>
    <t>130 d)</t>
  </si>
  <si>
    <t>240+260+270</t>
  </si>
  <si>
    <t>290</t>
  </si>
  <si>
    <t>310</t>
  </si>
  <si>
    <t>320</t>
  </si>
  <si>
    <t>330</t>
  </si>
  <si>
    <t>340</t>
  </si>
  <si>
    <t>(*)</t>
  </si>
  <si>
    <t>Commissioni</t>
  </si>
  <si>
    <t>Dividendi</t>
  </si>
  <si>
    <t>Risultato netto della finanza</t>
  </si>
  <si>
    <t>Altri oneri e proventi di gestione</t>
  </si>
  <si>
    <t>Redditività Operativa</t>
  </si>
  <si>
    <t>Spese per il personale</t>
  </si>
  <si>
    <t>Altre spese amministrative</t>
  </si>
  <si>
    <t>Rettifiche/riprese di valore nette su attività materiali e immateriali</t>
  </si>
  <si>
    <t>Costi della gestione</t>
  </si>
  <si>
    <t>Risultato della gestione operativa</t>
  </si>
  <si>
    <t>Rettifiche/riprese di valore nette per deterioramento dei crediti</t>
  </si>
  <si>
    <t>Rettifiche/riprese di valore nette per deterioramento di attività finanziarie AFS e HTM</t>
  </si>
  <si>
    <t>Rettifiche/riprese per deterioramento di altre operazioni finanziarie</t>
  </si>
  <si>
    <t>Rettifiche\riprese di valore nette per deterioramento</t>
  </si>
  <si>
    <t>Accantonamenti netti a fondi per rischi e oneri</t>
  </si>
  <si>
    <t>Utili (perdite) da cessione di investimenti e partecipazioni e rettifiche di valore dell'avviamento</t>
  </si>
  <si>
    <t>Risultato dell'operatività corrente al lordo delle imposte</t>
  </si>
  <si>
    <t>Imposte sul reddito di periodo al lordo dell'operatività corrente</t>
  </si>
  <si>
    <t>Utile (Perdita) di periodo</t>
  </si>
  <si>
    <t>Utile netto di pertinenza di terzi</t>
  </si>
  <si>
    <t>Utile (Perdita) di periodo di pertinenza della Capogruppo</t>
  </si>
  <si>
    <t>Conto economico riclassificato trimestralizzato</t>
  </si>
  <si>
    <t>2° trimestre 2015</t>
  </si>
  <si>
    <t>2° trimestre  2014</t>
  </si>
  <si>
    <t>30.09.2015</t>
  </si>
  <si>
    <t>3° trimestre  2015</t>
  </si>
  <si>
    <t>31.12.2015</t>
  </si>
  <si>
    <t>4° trimestre  2015</t>
  </si>
  <si>
    <t>31.03.2016</t>
  </si>
  <si>
    <t>30.06.2016</t>
  </si>
  <si>
    <t>Contributi ai fondi SRF, DGS, FITD</t>
  </si>
  <si>
    <t>###</t>
  </si>
  <si>
    <t>Recuperi di imposte indirette</t>
  </si>
  <si>
    <t>(**)</t>
  </si>
  <si>
    <t>(***)</t>
  </si>
  <si>
    <t>Al netto di:</t>
  </si>
  <si>
    <t>30.09.2016</t>
  </si>
  <si>
    <t>2° trimestre 2016</t>
  </si>
  <si>
    <t>3° trimestre 2016</t>
  </si>
  <si>
    <t>3° trimestre 2015</t>
  </si>
  <si>
    <t>4° trimestre 2015</t>
  </si>
  <si>
    <t>31.12.2016</t>
  </si>
  <si>
    <t>4° trimestre 2016</t>
  </si>
  <si>
    <t>220 (*) (**)</t>
  </si>
  <si>
    <t>180 b) (*) (***)</t>
  </si>
  <si>
    <t>(****)</t>
  </si>
  <si>
    <t>Recupero garanzia scaduta nell'ambito dell'operazione Tercas</t>
  </si>
  <si>
    <t>190 (****)</t>
  </si>
  <si>
    <t>31/03/2017</t>
  </si>
  <si>
    <t>Sofferenze</t>
  </si>
  <si>
    <t>lordo</t>
  </si>
  <si>
    <t>netto</t>
  </si>
  <si>
    <t>rettifiche</t>
  </si>
  <si>
    <t>svalutazioni dirette</t>
  </si>
  <si>
    <t>copertura con rif. Bilancio</t>
  </si>
  <si>
    <t>copertura con svalutazioni</t>
  </si>
  <si>
    <t>Crediti in Bonis</t>
  </si>
  <si>
    <t>TOTALE CREDITI</t>
  </si>
  <si>
    <t>Indici:</t>
  </si>
  <si>
    <t>-</t>
  </si>
  <si>
    <t>costo del credito (annualizzato)</t>
  </si>
  <si>
    <t>TOTALE CREDITI DETERIORATI</t>
  </si>
  <si>
    <t>sofferenze lorde / crediti lordi verso clientela</t>
  </si>
  <si>
    <t>sofferenze nette / crediti netti verso clientela</t>
  </si>
  <si>
    <t>inadempienze probabili lorde / crediti lordi verso clientela</t>
  </si>
  <si>
    <t>inadempienze probabili nette / crediti netti verso clientela</t>
  </si>
  <si>
    <t>crediti deteriorati lordi / crediti lordi verso clientela</t>
  </si>
  <si>
    <t>crediti deteriorati netti / crediti netti verso clientela</t>
  </si>
  <si>
    <t>esposizioni scadute lorde / crediti lordi verso clientela</t>
  </si>
  <si>
    <t>esposizioni scadute nette / crediti netti verso clientela</t>
  </si>
  <si>
    <t xml:space="preserve">Esposizioni scadute </t>
  </si>
  <si>
    <t>Voce 130 a): Rettifiche/Riprese di valore nette per deterioramento di crediti</t>
  </si>
  <si>
    <r>
      <t>-</t>
    </r>
    <r>
      <rPr>
        <sz val="8.5"/>
        <color indexed="8"/>
        <rFont val="Arial"/>
        <family val="2"/>
      </rPr>
      <t>  di cui: avviamento</t>
    </r>
  </si>
  <si>
    <t>(in migliaia di Euro)</t>
  </si>
  <si>
    <t>31.03.2017</t>
  </si>
  <si>
    <t>31.12.2007</t>
  </si>
  <si>
    <t>30.09.2007</t>
  </si>
  <si>
    <t>30.06.2007</t>
  </si>
  <si>
    <t>31.03.2007</t>
  </si>
  <si>
    <t>31.12.2006</t>
  </si>
  <si>
    <t>30.09.2006</t>
  </si>
  <si>
    <t>30.06.2006</t>
  </si>
  <si>
    <t>31.03.2006</t>
  </si>
  <si>
    <t>31.12.2005</t>
  </si>
  <si>
    <t>Strumenti di capitale</t>
  </si>
  <si>
    <t>30.09.2017</t>
  </si>
  <si>
    <t>31.12. 2007</t>
  </si>
  <si>
    <t>31.12. 2006</t>
  </si>
  <si>
    <t>2° trimestre 2007</t>
  </si>
  <si>
    <t>2° trimestre 2006</t>
  </si>
  <si>
    <t>3° trimestre 2007</t>
  </si>
  <si>
    <t>3° trimestre 2006</t>
  </si>
  <si>
    <t>4° trimestre 2007</t>
  </si>
  <si>
    <t>4° trimestre 2006</t>
  </si>
  <si>
    <t>30.06.2017</t>
  </si>
  <si>
    <t>(*) Al 30 giugno 2017 si è concluso il processo di Purchase Price Allocation (PPA) della Cassa di Risparmio di Saluzzo, il cui controllo era stato acquisito nel quarto trimestre 2016 e relativamente al quale, al 31 dicembre 2016, si era proceduto ad un’allocazione provvisoria del prezzo di acquisto; la conclusione del processo ha comportato, ai sensi del paragrafo 45 dell’IFRS 3, la modifica dei dati riferiti al 31 dicembre 2016 rispetto a quelli precedentemente pubblicati, a seguito della identificazione di Attività Immateriali a vita utile definita per Euro 9.061 mila, la contestuale rilevazione di Passività Fiscali differite per Euro 2.996 mila e la conseguente riduzione dell’Avviamento provvisoriamente rilevato per Euro 6.065 mila.</t>
  </si>
  <si>
    <t>2° trimestre 2017</t>
  </si>
  <si>
    <t>(*****)</t>
  </si>
  <si>
    <t>Rimborso dal FITD-SV nell'ambito dell'operazione Tercas</t>
  </si>
  <si>
    <t>3° trimestre 2017</t>
  </si>
  <si>
    <t>31.12.2017</t>
  </si>
  <si>
    <t>265.</t>
  </si>
  <si>
    <t>Avviamento negativo</t>
  </si>
  <si>
    <t>4° trimestre 2017</t>
  </si>
  <si>
    <t>30.06.2018</t>
  </si>
  <si>
    <t>31.03.2018</t>
  </si>
  <si>
    <t>01.01.2018</t>
  </si>
  <si>
    <t>31.12.2017 riclassificato</t>
  </si>
  <si>
    <t xml:space="preserve"> Interessi attivi e proventi assimilati</t>
  </si>
  <si>
    <t xml:space="preserve"> Interessi passivi e oneri assimilati</t>
  </si>
  <si>
    <t xml:space="preserve"> Commissioni attive</t>
  </si>
  <si>
    <t xml:space="preserve"> Commissioni passive</t>
  </si>
  <si>
    <t>Dividendi e proventi simili</t>
  </si>
  <si>
    <t>Risultato netto dell'attività di negoziazione</t>
  </si>
  <si>
    <t>Utili (perdite) da cessione o riacquisto di:</t>
  </si>
  <si>
    <t xml:space="preserve">   a) attività finanziarie valutate al costo ammortizzato </t>
  </si>
  <si>
    <t xml:space="preserve">   c) passività finanziarie</t>
  </si>
  <si>
    <t>Risultato netto delle altre attività e passività finanziarie valutate al fair value con impatto a conto economico</t>
  </si>
  <si>
    <t xml:space="preserve">   a) attività e passività finanziarie designate al fair value </t>
  </si>
  <si>
    <t xml:space="preserve">   b) altre attività finanziarie obbligatoriamente valutate al fair value</t>
  </si>
  <si>
    <t xml:space="preserve">Rettifiche/riprese di valore nette per rischio di credito relativo a: </t>
  </si>
  <si>
    <t xml:space="preserve">   a)attività finanziarie valutate al costo ammortizzato </t>
  </si>
  <si>
    <t xml:space="preserve">   b) attività finanziarie valutate al fair value con impatto sulla redditività complessiva </t>
  </si>
  <si>
    <t>Utili/perdite da modifiche contrattuali senza cancellazioni</t>
  </si>
  <si>
    <t xml:space="preserve">Risultato netto della gestione finanziaria </t>
  </si>
  <si>
    <t>160</t>
  </si>
  <si>
    <t>Premi netti</t>
  </si>
  <si>
    <t>170</t>
  </si>
  <si>
    <t>Saldo altri proventi/oneri della gestione assicurativa</t>
  </si>
  <si>
    <t>Risultato netto della gestione finanziaria e assicurativa</t>
  </si>
  <si>
    <t>Spese amministrative:</t>
  </si>
  <si>
    <t>a)   spese per il personale</t>
  </si>
  <si>
    <t>b)   altre spese amministrative</t>
  </si>
  <si>
    <t xml:space="preserve">   a) impegni e garanzie rilasciate</t>
  </si>
  <si>
    <t xml:space="preserve">   b) altri accantonamenti netti</t>
  </si>
  <si>
    <t>Rettifiche/riprese di valore nette su attività materiali</t>
  </si>
  <si>
    <t>250.</t>
  </si>
  <si>
    <t xml:space="preserve">Utili (Perdite) delle partecipazioni </t>
  </si>
  <si>
    <t>Risultato netto della valutazione al fair value delle attività materiali e immateriali</t>
  </si>
  <si>
    <t>Utili (Perdite) da cessione di investimenti</t>
  </si>
  <si>
    <t>Utile (Perdita) della operatività corrente al lordo delle imposte</t>
  </si>
  <si>
    <t xml:space="preserve"> Imposte sul reddito di periodo dell'operatività corrente</t>
  </si>
  <si>
    <t>Utile (Perdita) della operatività corrente al netto delle imposte</t>
  </si>
  <si>
    <t>Utile (Perdita) delle attività operative cessate al netto delle imposte</t>
  </si>
  <si>
    <t xml:space="preserve"> Utile (Perdita) di periodo</t>
  </si>
  <si>
    <t>Utile (Perdita) di periodo di pertinenza di terzi</t>
  </si>
  <si>
    <t>350.</t>
  </si>
  <si>
    <t>Utile (Perdita) di periodo di pertinenza della capogruppo</t>
  </si>
  <si>
    <t>2° trimestre 2018</t>
  </si>
  <si>
    <t>Cassa e disponibilità liquide</t>
  </si>
  <si>
    <t xml:space="preserve">Attività finanziarie valutate al fair value con impatto a conto economico </t>
  </si>
  <si>
    <t>a)   attività finanziarie detenute per la negoziazione</t>
  </si>
  <si>
    <t>b)   attività finanziarie designate al fair value</t>
  </si>
  <si>
    <t>c)   altre attività finanziarie obbligatoriamente valutate al fair value</t>
  </si>
  <si>
    <t>Attività finanziarie valutate al fair value con impatto sulla redditività complessiva</t>
  </si>
  <si>
    <t xml:space="preserve">Attività finanziarie valutate al costo ammortizzato </t>
  </si>
  <si>
    <t>a)   crediti verso banche</t>
  </si>
  <si>
    <t>b)   crediti verso clientela</t>
  </si>
  <si>
    <t>Adeguamento di valore delle attività finanziarie oggetto di copertura generica (+/-)</t>
  </si>
  <si>
    <t>Partecipazioni</t>
  </si>
  <si>
    <t>Riserve tecniche a carico dei riassicuratori</t>
  </si>
  <si>
    <t>di cui:</t>
  </si>
  <si>
    <t>- avviamento</t>
  </si>
  <si>
    <t>a)   correnti</t>
  </si>
  <si>
    <t>b)   anticipate</t>
  </si>
  <si>
    <t>Totale dell'attivo</t>
  </si>
  <si>
    <t>Passività finanziarie valutate al costo ammortizzato</t>
  </si>
  <si>
    <t>a)   debiti verso banche</t>
  </si>
  <si>
    <t>b)   debiti verso clientela</t>
  </si>
  <si>
    <t>c)   titoli in circolazione</t>
  </si>
  <si>
    <t>Passività finanziarie designate al fair value</t>
  </si>
  <si>
    <t>Adeguamento di valore delle passività finanziarie oggetto di copertura generica (+/-)</t>
  </si>
  <si>
    <t>b)   differite</t>
  </si>
  <si>
    <t>Fondi per rischi e oneri</t>
  </si>
  <si>
    <t>a)   impegni e garanzie rilasciate</t>
  </si>
  <si>
    <t>b)   quiescenza e obblighi simili</t>
  </si>
  <si>
    <t>c)   altri fondi per rischi e oneri</t>
  </si>
  <si>
    <t>Riserve tecniche</t>
  </si>
  <si>
    <t>di cui relative ad attività operative cessate</t>
  </si>
  <si>
    <t>Azioni rimborsabili</t>
  </si>
  <si>
    <t>Azioni proprie (-)</t>
  </si>
  <si>
    <t>Patrimonio di pertinenza di terzi (+/-)</t>
  </si>
  <si>
    <t>Utile (Perdita) d'esercizio (+/-)</t>
  </si>
  <si>
    <t>Voci dell'attivo</t>
  </si>
  <si>
    <t>AGG</t>
  </si>
  <si>
    <t xml:space="preserve">(in migliaia)                                  </t>
  </si>
  <si>
    <t>Impatto 
IFRS 9</t>
  </si>
  <si>
    <t>Attività finanziarie valutate al fair value con impatto a conto economico</t>
  </si>
  <si>
    <t xml:space="preserve">a) attività finanziarie detenute per la negoziazione; </t>
  </si>
  <si>
    <t>b) attività finanziarie designate al fair value;</t>
  </si>
  <si>
    <t>c) altre attività finanziarie obbligatoriamente valutate al fair value</t>
  </si>
  <si>
    <t>Attività finanziarie valutate al costo ammortizzato</t>
  </si>
  <si>
    <t>a) crediti verso banche</t>
  </si>
  <si>
    <t>b) crediti verso clientela</t>
  </si>
  <si>
    <t>Adeguamento di valore delle attività finanziarie oggetto di copertura generica  (+/-)</t>
  </si>
  <si>
    <t xml:space="preserve">     di cui:</t>
  </si>
  <si>
    <t xml:space="preserve">     - avviamento</t>
  </si>
  <si>
    <t xml:space="preserve">Attività non correnti e gruppi di attività in via di dismissione </t>
  </si>
  <si>
    <t>a) debiti verso banche</t>
  </si>
  <si>
    <t>b) debiti verso la clientela</t>
  </si>
  <si>
    <t>c) titoli in circolazione</t>
  </si>
  <si>
    <t xml:space="preserve">Passività fiscali </t>
  </si>
  <si>
    <t xml:space="preserve">a) impegni e garanzie rilasciate </t>
  </si>
  <si>
    <t>b) quiescenza e obblighi simili</t>
  </si>
  <si>
    <t>c) altri fondi per rischi e oneri</t>
  </si>
  <si>
    <t xml:space="preserve">   Azioni proprie (-)</t>
  </si>
  <si>
    <t>Utile (Perdita)  di periodo (+/-)</t>
  </si>
  <si>
    <t>31/12/2017 RICLASSIFICATO</t>
  </si>
  <si>
    <t>01/01/2018 FTA</t>
  </si>
  <si>
    <t>Attività finanziarie</t>
  </si>
  <si>
    <t>a) Attività finanziarie detenute per la negoziazione</t>
  </si>
  <si>
    <t>b) Attività finanziarie designate al fair value</t>
  </si>
  <si>
    <t>d) Attività finanziarie valutate al fair value con impatto sulla redditività complessiva</t>
  </si>
  <si>
    <t>e) Titoli di debito valutati al costo ammortizzato</t>
  </si>
  <si>
    <t xml:space="preserve"> - banche</t>
  </si>
  <si>
    <t xml:space="preserve"> - clientela</t>
  </si>
  <si>
    <t>Finanziamenti</t>
  </si>
  <si>
    <t>Altre voci dell'attivo</t>
  </si>
  <si>
    <t>Totale dell'Attivo</t>
  </si>
  <si>
    <t>Raccolta diretta</t>
  </si>
  <si>
    <t>b) Titoli in circolazione</t>
  </si>
  <si>
    <t>Altre voci del passivo</t>
  </si>
  <si>
    <t>Patrimonio di pertinenza della Capogruppo</t>
  </si>
  <si>
    <t>a) Riserve da valutazione</t>
  </si>
  <si>
    <t>b) Riserve</t>
  </si>
  <si>
    <t>1° trimestre 2017</t>
  </si>
  <si>
    <t>190 a)</t>
  </si>
  <si>
    <t>Spese del personale</t>
  </si>
  <si>
    <t>210+220</t>
  </si>
  <si>
    <t>Rettifiche/Riprese di valore su attività materiali e immateriali</t>
  </si>
  <si>
    <t>130 b)</t>
  </si>
  <si>
    <t>Utili (Perdite) da modifiche contrattuali senza cancellazioni</t>
  </si>
  <si>
    <t>Contributi ai fondi SRF, DGS, FITD - SV</t>
  </si>
  <si>
    <t>Utili (Perdite) delle partecipazioni, da cessione di investimenti e rettifiche di valore dell'avviamento</t>
  </si>
  <si>
    <t>Utile (Perdita) dell'operatività corrente al lordo delle imposte</t>
  </si>
  <si>
    <t>300</t>
  </si>
  <si>
    <t>Imposte sul reddito di periodo dell'operatività corrente</t>
  </si>
  <si>
    <t>1° trimestre 2018 pro-forma</t>
  </si>
  <si>
    <t>2° trimestre 2018 pro-forma</t>
  </si>
  <si>
    <t>230</t>
  </si>
  <si>
    <t>190 b)</t>
  </si>
  <si>
    <t>Rettifiche/Riprese di valore nette su attività materiali e immateriali</t>
  </si>
  <si>
    <t>Rettifiche/Riprese di valore nette su altre attività finanziarie</t>
  </si>
  <si>
    <t>200</t>
  </si>
  <si>
    <t>Contributi ai fondi SRF, DGS, FITD-SV</t>
  </si>
  <si>
    <t>250+270
+280</t>
  </si>
  <si>
    <t>Utile netto di periodo di pertinenza di terzi</t>
  </si>
  <si>
    <t>(in migliaia)</t>
  </si>
  <si>
    <t>Variazioni</t>
  </si>
  <si>
    <t>Var. %</t>
  </si>
  <si>
    <t>140)</t>
  </si>
  <si>
    <t>Conto economico riclassificato pro-forma</t>
  </si>
  <si>
    <t>Movimenti pro-forma</t>
  </si>
  <si>
    <t xml:space="preserve"> </t>
  </si>
  <si>
    <t>01.01.2018
IFRS9 FTA</t>
  </si>
  <si>
    <t>Stato patrimoniale riclassficato</t>
  </si>
  <si>
    <t>Conto economico riclassificato</t>
  </si>
  <si>
    <t>Stato patrimoniale consolidato (Circolare 262/2005 Banca d'Italia)</t>
  </si>
  <si>
    <t>Conto economico riclassificato trimestralizzato pro-forma</t>
  </si>
  <si>
    <t>Asset quality - Finanziamenti verso la clientela valutati al costo ammortizzato</t>
  </si>
  <si>
    <t>Conto economico consolidato (Circolare n. 262/2005 di Banca d'Italia)</t>
  </si>
  <si>
    <t>30.09.2018</t>
  </si>
  <si>
    <t>3° trimestre 2018</t>
  </si>
  <si>
    <t>--</t>
  </si>
  <si>
    <t>3° trimestre 2018 pro-forma</t>
  </si>
  <si>
    <t>Rettifiche di valore nette su attività al costo ammortizzato</t>
  </si>
  <si>
    <t>Rettifiche di valore nette su attività  al fair value</t>
  </si>
  <si>
    <t>Rettifiche di valore nette per rischio di credito</t>
  </si>
  <si>
    <t>c) Altre attività finanziarie obbligatoriamente valutate al fair value</t>
  </si>
  <si>
    <t>a) Crediti verso banche</t>
  </si>
  <si>
    <t>b) Crediti verso clientela</t>
  </si>
  <si>
    <t>Rettifiche di valore nette su attività materiali e immateriali</t>
  </si>
  <si>
    <t>Rettifiche di valore nette su attività al fair value</t>
  </si>
  <si>
    <t>4° trimestre 2018 pro-forma</t>
  </si>
  <si>
    <t>31.12.2018</t>
  </si>
  <si>
    <t>31.12.2018 pro-forma</t>
  </si>
  <si>
    <t>4° trimestre 2018</t>
  </si>
  <si>
    <t>DISCLAIMER</t>
  </si>
  <si>
    <t>Questo documento è stato preparato da BPER Banca esclusivamente a scopo informativo e solo per presentare le sue strategie e i principali dati finanziari. Le informazioni contenute in questo documento non sono state oggetto di revisione contabile.
Non è possibile fornire alcuna garanzia, esplicita o implicita, sul contenuto del documento, né sulla completezza, correttezza o accuratezza delle informazioni o opinioni qui contenute. BPER Banca, i suoi consulenti e i suoi rappresentanti declinano ogni responsabilità (per negligenza o qualsiasi altra causa) per qualsiasi perdita causata dall'uso di questo documento o dei suoi contenuti. Tutte le previsioni contenute nel presente documento sono state preparate sulla base di ipotesi specifiche che potrebbero rivelarsi errate, nel qual caso i dati effettivi sarebbero diversi da quelli qui riportati. Nessuna parte di questo documento può essere considerata come la base per qualsiasi contratto o accordo. Nessuna parte delle informazioni qui contenute può essere riprodotta o pubblicata in tutto o in parte, né può essere divulgata</t>
  </si>
  <si>
    <t>31.03.2019</t>
  </si>
  <si>
    <t>30.06.2019</t>
  </si>
  <si>
    <t>2° trimestre 2019</t>
  </si>
  <si>
    <t>30.09.2019</t>
  </si>
  <si>
    <t>c) Strumenti di capitale</t>
  </si>
  <si>
    <t>3° trimestre 2019</t>
  </si>
  <si>
    <t xml:space="preserve"> 275. </t>
  </si>
  <si>
    <t>31.12.2019</t>
  </si>
  <si>
    <t>4° trimestre 2019</t>
  </si>
  <si>
    <t>31.03.2020</t>
  </si>
  <si>
    <t>30.06.2020</t>
  </si>
  <si>
    <t>2° trimestre 2020</t>
  </si>
  <si>
    <t>DATO PRO-FORMA CONSIDERATI GLI EFFETTI DELL'OPERAZIONE DI CARTOLARIZZAZIONE SPRING</t>
  </si>
  <si>
    <t>30.09.2020</t>
  </si>
  <si>
    <t>- finanziamenti verso clientela</t>
  </si>
  <si>
    <t>- altre attività finanziarie</t>
  </si>
  <si>
    <t>Oneri operativi</t>
  </si>
  <si>
    <t>Proventi operativi netti</t>
  </si>
  <si>
    <t>Utile (Perdita) della gestione corrente al lordo delle imposte</t>
  </si>
  <si>
    <t>Imposte sul reddito di periodo della gestione corrente</t>
  </si>
  <si>
    <t>3° trimestre 2020</t>
  </si>
  <si>
    <t>31.12.2020</t>
  </si>
  <si>
    <t>4° trimestre 2020</t>
  </si>
  <si>
    <t>RESTATED IAS 40</t>
  </si>
  <si>
    <t>31.03.2021</t>
  </si>
  <si>
    <t>Utili (Perdite) da investimenti</t>
  </si>
  <si>
    <t>30.06.2021</t>
  </si>
  <si>
    <t>30.09.2021</t>
  </si>
  <si>
    <t>31.12.2021</t>
  </si>
  <si>
    <t>a) Derivati di copertura</t>
  </si>
  <si>
    <t>b) Adeguamento di valore delle passività finanziarie oggetto di copertura generica (+/-)</t>
  </si>
  <si>
    <t>c) Passività finanziarie designate al fair value</t>
  </si>
  <si>
    <t>31.03.2022</t>
  </si>
  <si>
    <t>30.06.2022</t>
  </si>
  <si>
    <t>30.09.2022</t>
  </si>
  <si>
    <t>BANCA CARIGE - Reclassified consolidated income statement quarter by quarter</t>
  </si>
  <si>
    <t>VOCI</t>
  </si>
  <si>
    <t>3Q 2022</t>
  </si>
  <si>
    <t>2Q 2022</t>
  </si>
  <si>
    <t>ONE OFF 2Q 2022</t>
  </si>
  <si>
    <t>1Q 2022</t>
  </si>
  <si>
    <t>4Q 2021</t>
  </si>
  <si>
    <t>3Q 2021</t>
  </si>
  <si>
    <t>2Q 2021</t>
  </si>
  <si>
    <t>1Q 2021</t>
  </si>
  <si>
    <t>2Q 2022 normalizzato</t>
  </si>
  <si>
    <t>31.12.2022</t>
  </si>
  <si>
    <t xml:space="preserve">190 b) </t>
  </si>
  <si>
    <t>31.03.2023</t>
  </si>
  <si>
    <t>30.06.2023</t>
  </si>
  <si>
    <t>b) Adeguamento di valore delle attività finanziarie oggetto di copertura generica (+/-)</t>
  </si>
  <si>
    <t>30.09.2023</t>
  </si>
  <si>
    <t>Attività di copertura</t>
  </si>
  <si>
    <t>c) Finanziamenti obbligatoriamente valutati al fair value</t>
  </si>
  <si>
    <t xml:space="preserve"> - di cui: avviamento</t>
  </si>
  <si>
    <t>a) Debiti verso clientela</t>
  </si>
  <si>
    <t>Contributi ai Fondi SRF, DGS, FITD-SV</t>
  </si>
  <si>
    <t xml:space="preserve">Utile (Perdita) di periodo </t>
  </si>
  <si>
    <t>31.12.2023</t>
  </si>
  <si>
    <t>Risultato delle partecipazioni valutate al patrimonio netto</t>
  </si>
  <si>
    <t>Risultato ante imposte</t>
  </si>
  <si>
    <t xml:space="preserve">230 </t>
  </si>
  <si>
    <t>250+260+270+280</t>
  </si>
  <si>
    <t>275</t>
  </si>
  <si>
    <t>31.03.2024</t>
  </si>
  <si>
    <t xml:space="preserve">Variazioni </t>
  </si>
  <si>
    <t xml:space="preserve">Var. % 
</t>
  </si>
  <si>
    <t>1° 
trimestre 2024</t>
  </si>
  <si>
    <t>2° 
trimestre 2024</t>
  </si>
  <si>
    <t>3° 
trimestre 2024</t>
  </si>
  <si>
    <t>4° 
trimestre 2024</t>
  </si>
  <si>
    <t>1° 
trimestre 2023</t>
  </si>
  <si>
    <t>2° 
trimestre 2023</t>
  </si>
  <si>
    <t>3° 
trimestre 2023</t>
  </si>
  <si>
    <t>4° 
trimestre 2023</t>
  </si>
  <si>
    <t>230 (*)</t>
  </si>
  <si>
    <t>190 b) (*) (**)</t>
  </si>
  <si>
    <t>250+270+280</t>
  </si>
  <si>
    <t>350</t>
  </si>
  <si>
    <t>1° trimestre 2022</t>
  </si>
  <si>
    <t>2° trimestre 2022</t>
  </si>
  <si>
    <t>3° trimestre 2022</t>
  </si>
  <si>
    <t>4° trimestre 2022</t>
  </si>
  <si>
    <t>1° trimestre 2021</t>
  </si>
  <si>
    <t>2° trimestre 2021</t>
  </si>
  <si>
    <t>3° trimestre 2021</t>
  </si>
  <si>
    <t>4° trimestre 2021</t>
  </si>
  <si>
    <t>1° trimestre 2020</t>
  </si>
  <si>
    <t>1° trimestre 2019</t>
  </si>
  <si>
    <t>1° trimestre 2018</t>
  </si>
  <si>
    <t>265</t>
  </si>
  <si>
    <t>Utile (Perdita) della gestione corrente</t>
  </si>
  <si>
    <t>30.06.2024</t>
  </si>
  <si>
    <t>30.09.2024</t>
  </si>
  <si>
    <t>31.12.2024</t>
  </si>
  <si>
    <t>Contributi ai Fondi sistemici</t>
  </si>
  <si>
    <t>31.03.2025</t>
  </si>
  <si>
    <t>1° 
trimestre 2025</t>
  </si>
  <si>
    <t>Contributi ai fondi sistemici</t>
  </si>
  <si>
    <t>30.06.2025</t>
  </si>
  <si>
    <t>2° 
trimestre 2025</t>
  </si>
  <si>
    <t>30.09.2025</t>
  </si>
  <si>
    <t>costo del credito trimestralizzato (annualizzato)</t>
  </si>
  <si>
    <t>31.12.2025</t>
  </si>
  <si>
    <t>d) Acconti su dividendi</t>
  </si>
  <si>
    <t>e) Riserva sovrapprezzo</t>
  </si>
  <si>
    <t>f) Capitale</t>
  </si>
  <si>
    <t>g) Azioni proprie</t>
  </si>
  <si>
    <t>h) Utile (Perdita) d'esercizio</t>
  </si>
  <si>
    <t>Oneri di integrazione</t>
  </si>
  <si>
    <t>Impatto PPA</t>
  </si>
  <si>
    <t>3° 
trimestre 2025</t>
  </si>
  <si>
    <t>4° 
trimestre 2025</t>
  </si>
  <si>
    <t>Acconti su dividendi</t>
  </si>
  <si>
    <t>31.03.2026</t>
  </si>
  <si>
    <t>1° 
trimestre 2026</t>
  </si>
  <si>
    <t xml:space="preserve">  di cui: interessi attivi calcolati con il metodo dell'interesse effettivo</t>
  </si>
  <si>
    <t>Inadempienze probabili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</si>
</sst>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1" formatCode="_-* #,##0_-;\-* #,##0_-;_-* &quot;-&quot;_-;_-@_-"/>
    <numFmt numFmtId="43" formatCode="_-* #,##0.00_-;\-* #,##0.00_-;_-* &quot;-&quot;??_-;_-@_-"/>
    <numFmt numFmtId="164" formatCode="_-&quot;€&quot;\ * #,##0_-;\-&quot;€&quot;\ * #,##0_-;_-&quot;€&quot;\ * &quot;-&quot;_-;_-@_-"/>
    <numFmt numFmtId="165" formatCode="_(* #,##0_);_(* \(#,##0\);_(* &quot;-&quot;_);_(@_)"/>
    <numFmt numFmtId="166" formatCode="_-* #,##0_-;\-* #,##0_-;_-* &quot;-&quot;??_-;_-@_-"/>
    <numFmt numFmtId="167" formatCode="_(* #,##0_);_(* \(#,##0\);_(* &quot;-&quot;??_);_(@_)"/>
    <numFmt numFmtId="168" formatCode="dd\.mm\.yyyy"/>
    <numFmt numFmtId="169" formatCode="#,##0;\(#,##0\);&quot;-&quot;"/>
    <numFmt numFmtId="170" formatCode="#,##0_ ;\-#,##0\ "/>
    <numFmt numFmtId="171" formatCode="_(&quot;$&quot;* #,##0_);_(&quot;$&quot;* \(#,##0\);_(&quot;$&quot;* &quot;-&quot;_);_(@_)"/>
    <numFmt numFmtId="172" formatCode="0.000%"/>
    <numFmt numFmtId="173" formatCode="_-[$€]\ * #,##0.00_-;\-[$€]\ * #,##0.00_-;_-[$€]\ * &quot;-&quot;??_-;_-@_-"/>
    <numFmt numFmtId="174" formatCode="_(* #,##0.00_);_(* \(#,##0.00\);_(* &quot;-&quot;??_);_(@_)"/>
    <numFmt numFmtId="175" formatCode="_(&quot;$&quot;* #,##0.00_);_(&quot;$&quot;* \(#,##0.00\);_(&quot;$&quot;* &quot;-&quot;??_);_(@_)"/>
    <numFmt numFmtId="176" formatCode="[$-410]d\-mmm\-yy;@"/>
    <numFmt numFmtId="177" formatCode="#,##0.0000_ ;\-#,##0.0000\ "/>
    <numFmt numFmtId="178" formatCode="#,##0\ ;\(#,##0\)\ ;&quot;- &quot;"/>
  </numFmts>
  <fonts count="86">
    <font>
      <sz val="10"/>
      <name val="Arial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7"/>
      <color indexed="23"/>
      <name val="Arial Black"/>
      <family val="2"/>
    </font>
    <font>
      <b/>
      <sz val="10"/>
      <color indexed="14"/>
      <name val="Arial"/>
      <family val="2"/>
    </font>
    <font>
      <sz val="8.5"/>
      <color indexed="8"/>
      <name val="Arial"/>
      <family val="2"/>
    </font>
    <font>
      <i/>
      <sz val="8.5"/>
      <color indexed="8"/>
      <name val="Arial"/>
      <family val="2"/>
    </font>
    <font>
      <b/>
      <sz val="8.5"/>
      <color indexed="8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.5"/>
      <color indexed="23"/>
      <name val="Arial"/>
      <family val="2"/>
    </font>
    <font>
      <sz val="8.5"/>
      <color indexed="10"/>
      <name val="Arial"/>
      <family val="2"/>
    </font>
    <font>
      <b/>
      <sz val="8.5"/>
      <color rgb="FF005157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8.5"/>
      <color indexed="23"/>
      <name val="Arial"/>
      <family val="2"/>
    </font>
    <font>
      <b/>
      <sz val="8.5"/>
      <color indexed="14"/>
      <name val="Arial"/>
      <family val="2"/>
    </font>
    <font>
      <b/>
      <sz val="8.5"/>
      <color indexed="9"/>
      <name val="Arial"/>
      <family val="2"/>
    </font>
    <font>
      <b/>
      <sz val="8.5"/>
      <color indexed="53"/>
      <name val="Arial"/>
      <family val="2"/>
    </font>
    <font>
      <sz val="8.5"/>
      <color indexed="53"/>
      <name val="Arial"/>
      <family val="2"/>
    </font>
    <font>
      <b/>
      <sz val="8.5"/>
      <color indexed="10"/>
      <name val="Arial"/>
      <family val="2"/>
    </font>
    <font>
      <sz val="8.5"/>
      <color theme="1"/>
      <name val="Arial"/>
      <family val="2"/>
    </font>
    <font>
      <b/>
      <sz val="8.5"/>
      <name val="KievitPro-Regular"/>
      <family val="2"/>
    </font>
    <font>
      <i/>
      <sz val="7.5"/>
      <name val="KievitPro-Regular"/>
      <family val="2"/>
    </font>
    <font>
      <sz val="7"/>
      <name val="KievitPro-Regular"/>
      <family val="2"/>
    </font>
    <font>
      <b/>
      <sz val="19"/>
      <color indexed="9"/>
      <name val="Arial Black"/>
      <family val="2"/>
    </font>
    <font>
      <b/>
      <sz val="11"/>
      <color indexed="9"/>
      <name val="Arial Black"/>
      <family val="2"/>
    </font>
    <font>
      <b/>
      <sz val="10"/>
      <color theme="1"/>
      <name val="Arial"/>
      <family val="2"/>
    </font>
    <font>
      <sz val="10"/>
      <color rgb="FFFF3399"/>
      <name val="Arial"/>
      <family val="2"/>
    </font>
    <font>
      <b/>
      <sz val="8"/>
      <color rgb="FF005157"/>
      <name val="KievitPro-Regular"/>
      <family val="2"/>
    </font>
    <font>
      <sz val="10"/>
      <color theme="3" tint="-0.249977111117893"/>
      <name val="Arial"/>
      <family val="2"/>
    </font>
    <font>
      <b/>
      <sz val="9"/>
      <color rgb="FF005157"/>
      <name val="KievitPro-Regular"/>
      <family val="2"/>
    </font>
    <font>
      <sz val="8"/>
      <name val="KievitPro-Regular"/>
      <family val="2"/>
    </font>
    <font>
      <sz val="8"/>
      <color rgb="FF000000"/>
      <name val="KievitPro-Regular"/>
      <family val="2"/>
    </font>
    <font>
      <sz val="7.5"/>
      <name val="KievitPro-Regular"/>
      <family val="2"/>
    </font>
    <font>
      <b/>
      <sz val="8"/>
      <name val="KievitPro-Regular"/>
      <family val="2"/>
    </font>
    <font>
      <sz val="12"/>
      <color rgb="FFFF00FF"/>
      <name val="Arial"/>
      <family val="2"/>
    </font>
    <font>
      <b/>
      <sz val="10"/>
      <name val="KievitPro-Regular"/>
      <family val="2"/>
    </font>
    <font>
      <sz val="8.5"/>
      <color indexed="8"/>
      <name val="KievitPro-Regular"/>
      <family val="2"/>
    </font>
    <font>
      <sz val="8.5"/>
      <name val="KievitPro-Regular"/>
      <family val="2"/>
    </font>
    <font>
      <sz val="8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b/>
      <sz val="8"/>
      <color rgb="FF005157"/>
      <name val="Arial"/>
      <family val="2"/>
    </font>
    <font>
      <sz val="15"/>
      <color rgb="FF005157"/>
      <name val="Arial"/>
      <family val="2"/>
    </font>
    <font>
      <b/>
      <sz val="7"/>
      <name val="Arial"/>
      <family val="2"/>
    </font>
    <font>
      <sz val="14"/>
      <color rgb="FF005157"/>
      <name val="Arial"/>
      <family val="2"/>
    </font>
    <font>
      <sz val="12"/>
      <color rgb="FF005157"/>
      <name val="Arial"/>
      <family val="2"/>
    </font>
    <font>
      <sz val="10"/>
      <color theme="1"/>
      <name val="Arial"/>
      <family val="2"/>
    </font>
    <font>
      <b/>
      <i/>
      <sz val="10"/>
      <color rgb="FF005157"/>
      <name val="Arial"/>
      <family val="2"/>
    </font>
    <font>
      <b/>
      <sz val="7"/>
      <color rgb="FF005157"/>
      <name val="Arial"/>
      <family val="2"/>
    </font>
    <font>
      <sz val="4"/>
      <color theme="1"/>
      <name val="Arial"/>
      <family val="2"/>
    </font>
    <font>
      <b/>
      <sz val="15"/>
      <color rgb="FF005157"/>
      <name val="Arial"/>
      <family val="2"/>
    </font>
    <font>
      <sz val="11"/>
      <color rgb="FF005157"/>
      <name val="Arial"/>
      <family val="2"/>
    </font>
    <font>
      <b/>
      <sz val="10"/>
      <color rgb="FF005157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i/>
      <sz val="8"/>
      <name val="Arial"/>
      <family val="2"/>
    </font>
    <font>
      <sz val="8.5"/>
      <color rgb="FF005157"/>
      <name val="Arial"/>
      <family val="2"/>
    </font>
    <font>
      <b/>
      <sz val="8"/>
      <color rgb="FF005157"/>
      <name val="Open Sans"/>
    </font>
    <font>
      <sz val="8"/>
      <name val="Open Sans"/>
    </font>
    <font>
      <sz val="8"/>
      <color rgb="FF005157"/>
      <name val="Open Sans"/>
    </font>
    <font>
      <b/>
      <sz val="8"/>
      <name val="Open Sans"/>
    </font>
    <font>
      <b/>
      <sz val="8"/>
      <color theme="0"/>
      <name val="Open Sans"/>
    </font>
    <font>
      <i/>
      <sz val="8"/>
      <name val="Open Sans"/>
    </font>
    <font>
      <b/>
      <sz val="8"/>
      <color theme="1"/>
      <name val="Open Sans"/>
    </font>
    <font>
      <sz val="8"/>
      <color theme="1"/>
      <name val="Open Sans"/>
    </font>
    <font>
      <b/>
      <sz val="8"/>
      <name val="Calibri"/>
      <family val="2"/>
      <scheme val="minor"/>
    </font>
    <font>
      <b/>
      <sz val="8"/>
      <color indexed="14"/>
      <name val="Open Sans"/>
    </font>
    <font>
      <b/>
      <sz val="8"/>
      <color theme="0"/>
      <name val="Open Sans SemiBold"/>
    </font>
    <font>
      <sz val="8"/>
      <color indexed="8"/>
      <name val="Open Sans"/>
    </font>
    <font>
      <b/>
      <sz val="8"/>
      <color indexed="8"/>
      <name val="Open Sans"/>
    </font>
    <font>
      <b/>
      <sz val="10"/>
      <color rgb="FF005157"/>
      <name val="Open Sans"/>
    </font>
    <font>
      <sz val="10"/>
      <color indexed="23"/>
      <name val="Open Sans"/>
    </font>
    <font>
      <sz val="10"/>
      <name val="Open Sans"/>
    </font>
    <font>
      <b/>
      <sz val="10"/>
      <color indexed="14"/>
      <name val="Open Sans"/>
    </font>
    <font>
      <b/>
      <sz val="10"/>
      <name val="Open Sans"/>
    </font>
    <font>
      <b/>
      <sz val="10"/>
      <color indexed="23"/>
      <name val="Open Sans"/>
    </font>
    <font>
      <b/>
      <sz val="10"/>
      <color theme="0"/>
      <name val="Open Sans"/>
    </font>
    <font>
      <b/>
      <u/>
      <sz val="10"/>
      <name val="Open Sans"/>
    </font>
    <font>
      <sz val="10"/>
      <color rgb="FFFF0000"/>
      <name val="Open Sans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AF0DE"/>
        <bgColor indexed="64"/>
      </patternFill>
    </fill>
    <fill>
      <patternFill patternType="solid">
        <fgColor rgb="FF00515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F1F1"/>
        <bgColor indexed="64"/>
      </patternFill>
    </fill>
  </fills>
  <borders count="38">
    <border>
      <left/>
      <right/>
      <top/>
      <bottom/>
      <diagonal/>
    </border>
    <border>
      <left style="thin">
        <color indexed="23"/>
      </left>
      <right/>
      <top/>
      <bottom/>
      <diagonal/>
    </border>
    <border>
      <left style="thin">
        <color indexed="57"/>
      </left>
      <right/>
      <top style="thin">
        <color indexed="57"/>
      </top>
      <bottom style="thin">
        <color indexed="57"/>
      </bottom>
      <diagonal/>
    </border>
    <border>
      <left/>
      <right/>
      <top style="thin">
        <color indexed="57"/>
      </top>
      <bottom style="thin">
        <color indexed="57"/>
      </bottom>
      <diagonal/>
    </border>
    <border>
      <left/>
      <right/>
      <top style="medium">
        <color rgb="FF005157"/>
      </top>
      <bottom style="medium">
        <color rgb="FF005157"/>
      </bottom>
      <diagonal/>
    </border>
    <border>
      <left/>
      <right/>
      <top style="thin">
        <color rgb="FF005157"/>
      </top>
      <bottom style="thin">
        <color rgb="FF005157"/>
      </bottom>
      <diagonal/>
    </border>
    <border>
      <left/>
      <right/>
      <top style="medium">
        <color rgb="FF005157"/>
      </top>
      <bottom/>
      <diagonal/>
    </border>
    <border>
      <left/>
      <right/>
      <top/>
      <bottom style="thin">
        <color rgb="FF005157"/>
      </bottom>
      <diagonal/>
    </border>
    <border>
      <left/>
      <right/>
      <top style="thin">
        <color rgb="FF005157"/>
      </top>
      <bottom/>
      <diagonal/>
    </border>
    <border>
      <left/>
      <right/>
      <top style="thin">
        <color rgb="FF005157"/>
      </top>
      <bottom style="medium">
        <color rgb="FF005157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005157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 style="medium">
        <color rgb="FF005157"/>
      </top>
      <bottom style="medium">
        <color rgb="FF005157"/>
      </bottom>
      <diagonal/>
    </border>
    <border>
      <left style="thick">
        <color rgb="FFFF0000"/>
      </left>
      <right style="thick">
        <color rgb="FFFF0000"/>
      </right>
      <top/>
      <bottom/>
      <diagonal/>
    </border>
    <border>
      <left style="thick">
        <color rgb="FFFF0000"/>
      </left>
      <right style="thick">
        <color rgb="FFFF0000"/>
      </right>
      <top style="thin">
        <color rgb="FF005157"/>
      </top>
      <bottom style="thin">
        <color rgb="FF005157"/>
      </bottom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medium">
        <color rgb="FF005157"/>
      </bottom>
      <diagonal/>
    </border>
    <border>
      <left/>
      <right/>
      <top style="thick">
        <color rgb="FFFF0000"/>
      </top>
      <bottom style="medium">
        <color rgb="FF005157"/>
      </bottom>
      <diagonal/>
    </border>
    <border>
      <left/>
      <right style="thick">
        <color rgb="FFFF0000"/>
      </right>
      <top style="thick">
        <color rgb="FFFF0000"/>
      </top>
      <bottom style="medium">
        <color rgb="FF005157"/>
      </bottom>
      <diagonal/>
    </border>
    <border>
      <left style="thick">
        <color rgb="FFFF0000"/>
      </left>
      <right/>
      <top style="medium">
        <color rgb="FF005157"/>
      </top>
      <bottom style="medium">
        <color rgb="FF005157"/>
      </bottom>
      <diagonal/>
    </border>
    <border>
      <left/>
      <right style="thick">
        <color rgb="FFFF0000"/>
      </right>
      <top style="medium">
        <color rgb="FF005157"/>
      </top>
      <bottom style="medium">
        <color rgb="FF005157"/>
      </bottom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rgb="FFFF0000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/>
      <bottom style="thin">
        <color rgb="FF005157"/>
      </bottom>
      <diagonal/>
    </border>
    <border>
      <left/>
      <right style="thick">
        <color rgb="FFFF0000"/>
      </right>
      <top/>
      <bottom style="thin">
        <color rgb="FF005157"/>
      </bottom>
      <diagonal/>
    </border>
    <border>
      <left style="thick">
        <color rgb="FFFF0000"/>
      </left>
      <right/>
      <top style="thin">
        <color rgb="FF005157"/>
      </top>
      <bottom/>
      <diagonal/>
    </border>
    <border>
      <left/>
      <right style="thick">
        <color rgb="FFFF0000"/>
      </right>
      <top style="thin">
        <color rgb="FF005157"/>
      </top>
      <bottom/>
      <diagonal/>
    </border>
  </borders>
  <cellStyleXfs count="39">
    <xf numFmtId="0" fontId="0" fillId="0" borderId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0" fontId="4" fillId="0" borderId="0"/>
    <xf numFmtId="0" fontId="16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3" fillId="0" borderId="0"/>
    <xf numFmtId="9" fontId="19" fillId="0" borderId="0" applyFont="0" applyFill="0" applyBorder="0" applyAlignment="0" applyProtection="0"/>
    <xf numFmtId="41" fontId="5" fillId="0" borderId="0" applyFont="0" applyFill="0" applyBorder="0" applyAlignment="0" applyProtection="0"/>
    <xf numFmtId="0" fontId="5" fillId="0" borderId="0"/>
    <xf numFmtId="41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0" fontId="16" fillId="0" borderId="0"/>
    <xf numFmtId="0" fontId="18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</cellStyleXfs>
  <cellXfs count="557">
    <xf numFmtId="0" fontId="0" fillId="0" borderId="0" xfId="0"/>
    <xf numFmtId="0" fontId="6" fillId="0" borderId="1" xfId="0" applyFont="1" applyBorder="1" applyProtection="1">
      <protection locked="0"/>
    </xf>
    <xf numFmtId="0" fontId="6" fillId="0" borderId="0" xfId="0" applyFont="1" applyProtection="1">
      <protection locked="0"/>
    </xf>
    <xf numFmtId="0" fontId="0" fillId="0" borderId="0" xfId="0" applyProtection="1">
      <protection locked="0"/>
    </xf>
    <xf numFmtId="49" fontId="8" fillId="0" borderId="0" xfId="0" applyNumberFormat="1" applyFont="1" applyAlignment="1" applyProtection="1">
      <alignment horizontal="right"/>
      <protection locked="0"/>
    </xf>
    <xf numFmtId="49" fontId="8" fillId="0" borderId="0" xfId="0" applyNumberFormat="1" applyFont="1" applyAlignment="1" applyProtection="1">
      <alignment horizontal="left"/>
      <protection locked="0"/>
    </xf>
    <xf numFmtId="165" fontId="11" fillId="0" borderId="0" xfId="2" applyNumberFormat="1" applyFont="1" applyFill="1" applyBorder="1" applyAlignment="1" applyProtection="1">
      <alignment horizontal="right" wrapText="1"/>
    </xf>
    <xf numFmtId="165" fontId="12" fillId="0" borderId="0" xfId="2" applyNumberFormat="1" applyFont="1" applyFill="1" applyBorder="1" applyAlignment="1" applyProtection="1">
      <alignment horizontal="right" wrapText="1"/>
    </xf>
    <xf numFmtId="49" fontId="10" fillId="0" borderId="0" xfId="0" applyNumberFormat="1" applyFont="1" applyAlignment="1" applyProtection="1">
      <alignment horizontal="left"/>
      <protection locked="0"/>
    </xf>
    <xf numFmtId="49" fontId="8" fillId="0" borderId="0" xfId="0" applyNumberFormat="1" applyFont="1" applyAlignment="1" applyProtection="1">
      <alignment horizontal="right" vertical="top"/>
      <protection locked="0"/>
    </xf>
    <xf numFmtId="3" fontId="8" fillId="0" borderId="0" xfId="0" applyNumberFormat="1" applyFont="1" applyAlignment="1" applyProtection="1">
      <alignment horizontal="right" wrapText="1"/>
      <protection locked="0"/>
    </xf>
    <xf numFmtId="0" fontId="7" fillId="0" borderId="0" xfId="0" applyFont="1" applyProtection="1">
      <protection locked="0"/>
    </xf>
    <xf numFmtId="14" fontId="7" fillId="0" borderId="0" xfId="0" applyNumberFormat="1" applyFont="1" applyProtection="1">
      <protection locked="0"/>
    </xf>
    <xf numFmtId="167" fontId="11" fillId="0" borderId="0" xfId="0" applyNumberFormat="1" applyFont="1" applyAlignment="1" applyProtection="1">
      <alignment horizontal="right" wrapText="1"/>
      <protection locked="0"/>
    </xf>
    <xf numFmtId="167" fontId="12" fillId="0" borderId="0" xfId="0" applyNumberFormat="1" applyFont="1" applyAlignment="1" applyProtection="1">
      <alignment horizontal="right" wrapText="1"/>
      <protection locked="0"/>
    </xf>
    <xf numFmtId="165" fontId="12" fillId="0" borderId="0" xfId="0" applyNumberFormat="1" applyFont="1" applyAlignment="1" applyProtection="1">
      <alignment horizontal="right" wrapText="1"/>
      <protection locked="0"/>
    </xf>
    <xf numFmtId="166" fontId="11" fillId="0" borderId="0" xfId="1" applyNumberFormat="1" applyFont="1" applyBorder="1" applyProtection="1">
      <protection locked="0"/>
    </xf>
    <xf numFmtId="49" fontId="8" fillId="0" borderId="0" xfId="0" applyNumberFormat="1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/>
      <protection locked="0"/>
    </xf>
    <xf numFmtId="49" fontId="11" fillId="0" borderId="0" xfId="0" applyNumberFormat="1" applyFont="1" applyAlignment="1" applyProtection="1">
      <alignment horizontal="left"/>
      <protection locked="0"/>
    </xf>
    <xf numFmtId="49" fontId="14" fillId="0" borderId="0" xfId="0" applyNumberFormat="1" applyFont="1" applyAlignment="1" applyProtection="1">
      <alignment horizontal="left"/>
      <protection locked="0"/>
    </xf>
    <xf numFmtId="0" fontId="11" fillId="0" borderId="0" xfId="0" applyFont="1" applyProtection="1">
      <protection locked="0"/>
    </xf>
    <xf numFmtId="49" fontId="10" fillId="0" borderId="5" xfId="0" applyNumberFormat="1" applyFont="1" applyBorder="1" applyAlignment="1" applyProtection="1">
      <alignment horizontal="left"/>
      <protection locked="0"/>
    </xf>
    <xf numFmtId="166" fontId="12" fillId="0" borderId="5" xfId="1" applyNumberFormat="1" applyFont="1" applyBorder="1" applyProtection="1">
      <protection locked="0"/>
    </xf>
    <xf numFmtId="49" fontId="8" fillId="0" borderId="2" xfId="0" applyNumberFormat="1" applyFont="1" applyBorder="1" applyAlignment="1" applyProtection="1">
      <alignment horizontal="right" vertical="top"/>
      <protection locked="0"/>
    </xf>
    <xf numFmtId="0" fontId="15" fillId="2" borderId="4" xfId="0" applyFont="1" applyFill="1" applyBorder="1" applyAlignment="1" applyProtection="1">
      <alignment horizontal="right" vertical="top" wrapText="1"/>
      <protection locked="0"/>
    </xf>
    <xf numFmtId="49" fontId="8" fillId="0" borderId="5" xfId="0" applyNumberFormat="1" applyFont="1" applyBorder="1" applyAlignment="1" applyProtection="1">
      <alignment horizontal="right" vertical="top"/>
      <protection locked="0"/>
    </xf>
    <xf numFmtId="0" fontId="5" fillId="2" borderId="0" xfId="0" applyFont="1" applyFill="1"/>
    <xf numFmtId="0" fontId="12" fillId="0" borderId="0" xfId="0" applyFont="1" applyAlignment="1" applyProtection="1">
      <alignment horizontal="right" wrapText="1"/>
      <protection locked="0"/>
    </xf>
    <xf numFmtId="0" fontId="11" fillId="0" borderId="0" xfId="0" applyFont="1" applyAlignment="1" applyProtection="1">
      <alignment horizontal="justify" wrapText="1"/>
      <protection locked="0"/>
    </xf>
    <xf numFmtId="49" fontId="9" fillId="0" borderId="0" xfId="0" applyNumberFormat="1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left"/>
      <protection locked="0"/>
    </xf>
    <xf numFmtId="49" fontId="12" fillId="0" borderId="5" xfId="0" applyNumberFormat="1" applyFont="1" applyBorder="1" applyAlignment="1" applyProtection="1">
      <alignment horizontal="right"/>
      <protection locked="0"/>
    </xf>
    <xf numFmtId="0" fontId="12" fillId="0" borderId="5" xfId="0" applyFont="1" applyBorder="1" applyProtection="1">
      <protection locked="0"/>
    </xf>
    <xf numFmtId="49" fontId="12" fillId="0" borderId="0" xfId="0" applyNumberFormat="1" applyFont="1" applyAlignment="1" applyProtection="1">
      <alignment horizontal="right"/>
      <protection locked="0"/>
    </xf>
    <xf numFmtId="49" fontId="12" fillId="0" borderId="0" xfId="0" applyNumberFormat="1" applyFont="1" applyAlignment="1" applyProtection="1">
      <alignment horizontal="left"/>
      <protection locked="0"/>
    </xf>
    <xf numFmtId="0" fontId="11" fillId="0" borderId="0" xfId="0" applyFont="1"/>
    <xf numFmtId="0" fontId="8" fillId="0" borderId="0" xfId="0" applyFont="1" applyProtection="1"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0" borderId="0" xfId="0" applyFont="1" applyAlignment="1" applyProtection="1">
      <alignment horizontal="justify" wrapText="1"/>
      <protection locked="0"/>
    </xf>
    <xf numFmtId="0" fontId="12" fillId="0" borderId="0" xfId="0" applyFont="1" applyProtection="1">
      <protection locked="0"/>
    </xf>
    <xf numFmtId="0" fontId="20" fillId="0" borderId="0" xfId="0" applyFont="1" applyAlignment="1" applyProtection="1">
      <alignment horizontal="left"/>
      <protection locked="0"/>
    </xf>
    <xf numFmtId="0" fontId="21" fillId="0" borderId="0" xfId="0" applyFont="1" applyProtection="1">
      <protection locked="0"/>
    </xf>
    <xf numFmtId="16" fontId="23" fillId="0" borderId="0" xfId="0" applyNumberFormat="1" applyFont="1" applyProtection="1">
      <protection locked="0"/>
    </xf>
    <xf numFmtId="0" fontId="24" fillId="0" borderId="0" xfId="0" applyFont="1" applyProtection="1">
      <protection locked="0"/>
    </xf>
    <xf numFmtId="0" fontId="25" fillId="0" borderId="0" xfId="0" applyFont="1" applyAlignment="1" applyProtection="1">
      <alignment vertical="center" wrapText="1"/>
      <protection locked="0"/>
    </xf>
    <xf numFmtId="0" fontId="21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top"/>
      <protection locked="0"/>
    </xf>
    <xf numFmtId="3" fontId="11" fillId="0" borderId="0" xfId="0" applyNumberFormat="1" applyFont="1" applyProtection="1">
      <protection locked="0"/>
    </xf>
    <xf numFmtId="43" fontId="11" fillId="0" borderId="0" xfId="1" applyFont="1" applyProtection="1">
      <protection locked="0"/>
    </xf>
    <xf numFmtId="0" fontId="11" fillId="2" borderId="0" xfId="0" applyFont="1" applyFill="1"/>
    <xf numFmtId="168" fontId="15" fillId="2" borderId="4" xfId="3" applyNumberFormat="1" applyFont="1" applyFill="1" applyBorder="1" applyAlignment="1" applyProtection="1">
      <alignment horizontal="right" vertical="top" wrapText="1"/>
      <protection locked="0"/>
    </xf>
    <xf numFmtId="0" fontId="11" fillId="2" borderId="6" xfId="3" quotePrefix="1" applyFont="1" applyFill="1" applyBorder="1" applyAlignment="1">
      <alignment horizontal="center"/>
    </xf>
    <xf numFmtId="0" fontId="11" fillId="2" borderId="6" xfId="3" quotePrefix="1" applyFont="1" applyFill="1" applyBorder="1" applyAlignment="1">
      <alignment horizontal="left" wrapText="1"/>
    </xf>
    <xf numFmtId="169" fontId="11" fillId="2" borderId="6" xfId="3" applyNumberFormat="1" applyFont="1" applyFill="1" applyBorder="1" applyAlignment="1">
      <alignment horizontal="right"/>
    </xf>
    <xf numFmtId="0" fontId="11" fillId="2" borderId="0" xfId="3" quotePrefix="1" applyFont="1" applyFill="1" applyAlignment="1">
      <alignment horizontal="center"/>
    </xf>
    <xf numFmtId="0" fontId="11" fillId="2" borderId="0" xfId="3" quotePrefix="1" applyFont="1" applyFill="1" applyAlignment="1">
      <alignment horizontal="left" wrapText="1"/>
    </xf>
    <xf numFmtId="169" fontId="11" fillId="2" borderId="0" xfId="3" applyNumberFormat="1" applyFont="1" applyFill="1" applyAlignment="1">
      <alignment horizontal="right"/>
    </xf>
    <xf numFmtId="0" fontId="11" fillId="2" borderId="0" xfId="3" quotePrefix="1" applyFont="1" applyFill="1" applyAlignment="1">
      <alignment horizontal="center" wrapText="1"/>
    </xf>
    <xf numFmtId="0" fontId="11" fillId="2" borderId="7" xfId="3" applyFont="1" applyFill="1" applyBorder="1" applyAlignment="1" applyProtection="1">
      <alignment horizontal="center"/>
      <protection locked="0"/>
    </xf>
    <xf numFmtId="0" fontId="12" fillId="2" borderId="7" xfId="3" quotePrefix="1" applyFont="1" applyFill="1" applyBorder="1" applyAlignment="1">
      <alignment horizontal="left" wrapText="1"/>
    </xf>
    <xf numFmtId="169" fontId="12" fillId="2" borderId="7" xfId="3" applyNumberFormat="1" applyFont="1" applyFill="1" applyBorder="1" applyAlignment="1">
      <alignment horizontal="right"/>
    </xf>
    <xf numFmtId="0" fontId="11" fillId="2" borderId="8" xfId="3" quotePrefix="1" applyFont="1" applyFill="1" applyBorder="1" applyAlignment="1">
      <alignment horizontal="center"/>
    </xf>
    <xf numFmtId="0" fontId="11" fillId="2" borderId="8" xfId="3" quotePrefix="1" applyFont="1" applyFill="1" applyBorder="1" applyAlignment="1">
      <alignment horizontal="left" wrapText="1"/>
    </xf>
    <xf numFmtId="169" fontId="11" fillId="2" borderId="8" xfId="3" applyNumberFormat="1" applyFont="1" applyFill="1" applyBorder="1" applyAlignment="1">
      <alignment horizontal="right"/>
    </xf>
    <xf numFmtId="0" fontId="11" fillId="2" borderId="7" xfId="3" applyFont="1" applyFill="1" applyBorder="1" applyAlignment="1">
      <alignment horizontal="center"/>
    </xf>
    <xf numFmtId="0" fontId="11" fillId="2" borderId="8" xfId="3" applyFont="1" applyFill="1" applyBorder="1" applyAlignment="1">
      <alignment horizontal="center"/>
    </xf>
    <xf numFmtId="0" fontId="12" fillId="2" borderId="8" xfId="3" quotePrefix="1" applyFont="1" applyFill="1" applyBorder="1" applyAlignment="1">
      <alignment horizontal="left" wrapText="1"/>
    </xf>
    <xf numFmtId="169" fontId="12" fillId="2" borderId="8" xfId="3" applyNumberFormat="1" applyFont="1" applyFill="1" applyBorder="1" applyAlignment="1">
      <alignment horizontal="right"/>
    </xf>
    <xf numFmtId="0" fontId="11" fillId="2" borderId="0" xfId="3" quotePrefix="1" applyFont="1" applyFill="1" applyAlignment="1">
      <alignment horizontal="left"/>
    </xf>
    <xf numFmtId="0" fontId="12" fillId="2" borderId="7" xfId="3" applyFont="1" applyFill="1" applyBorder="1" applyAlignment="1">
      <alignment horizontal="center"/>
    </xf>
    <xf numFmtId="0" fontId="11" fillId="2" borderId="7" xfId="3" quotePrefix="1" applyFont="1" applyFill="1" applyBorder="1" applyAlignment="1">
      <alignment horizontal="center"/>
    </xf>
    <xf numFmtId="0" fontId="11" fillId="2" borderId="7" xfId="3" quotePrefix="1" applyFont="1" applyFill="1" applyBorder="1" applyAlignment="1">
      <alignment horizontal="left" wrapText="1"/>
    </xf>
    <xf numFmtId="169" fontId="11" fillId="2" borderId="7" xfId="3" applyNumberFormat="1" applyFont="1" applyFill="1" applyBorder="1" applyAlignment="1">
      <alignment horizontal="right"/>
    </xf>
    <xf numFmtId="0" fontId="12" fillId="2" borderId="5" xfId="3" quotePrefix="1" applyFont="1" applyFill="1" applyBorder="1" applyAlignment="1">
      <alignment horizontal="center"/>
    </xf>
    <xf numFmtId="0" fontId="12" fillId="2" borderId="5" xfId="3" quotePrefix="1" applyFont="1" applyFill="1" applyBorder="1" applyAlignment="1">
      <alignment horizontal="left" wrapText="1"/>
    </xf>
    <xf numFmtId="169" fontId="12" fillId="2" borderId="5" xfId="3" applyNumberFormat="1" applyFont="1" applyFill="1" applyBorder="1" applyAlignment="1">
      <alignment horizontal="right"/>
    </xf>
    <xf numFmtId="0" fontId="11" fillId="2" borderId="5" xfId="3" quotePrefix="1" applyFont="1" applyFill="1" applyBorder="1" applyAlignment="1">
      <alignment horizontal="center"/>
    </xf>
    <xf numFmtId="0" fontId="11" fillId="2" borderId="5" xfId="3" quotePrefix="1" applyFont="1" applyFill="1" applyBorder="1" applyAlignment="1">
      <alignment horizontal="left" wrapText="1"/>
    </xf>
    <xf numFmtId="169" fontId="11" fillId="2" borderId="5" xfId="3" applyNumberFormat="1" applyFont="1" applyFill="1" applyBorder="1" applyAlignment="1">
      <alignment horizontal="right"/>
    </xf>
    <xf numFmtId="0" fontId="26" fillId="2" borderId="0" xfId="3" applyFont="1" applyFill="1"/>
    <xf numFmtId="0" fontId="13" fillId="0" borderId="11" xfId="0" applyFont="1" applyBorder="1" applyProtection="1">
      <protection locked="0"/>
    </xf>
    <xf numFmtId="0" fontId="5" fillId="0" borderId="0" xfId="0" applyFont="1"/>
    <xf numFmtId="166" fontId="8" fillId="0" borderId="0" xfId="1" applyNumberFormat="1" applyFont="1" applyBorder="1" applyAlignment="1" applyProtection="1">
      <alignment horizontal="justify" vertical="top" wrapText="1"/>
      <protection locked="0"/>
    </xf>
    <xf numFmtId="166" fontId="11" fillId="0" borderId="0" xfId="1" applyNumberFormat="1" applyFont="1" applyAlignment="1">
      <alignment wrapText="1"/>
    </xf>
    <xf numFmtId="166" fontId="11" fillId="0" borderId="0" xfId="1" applyNumberFormat="1" applyFont="1" applyAlignment="1"/>
    <xf numFmtId="166" fontId="11" fillId="0" borderId="0" xfId="1" applyNumberFormat="1" applyFont="1" applyBorder="1" applyAlignment="1" applyProtection="1">
      <alignment horizontal="left"/>
      <protection locked="0"/>
    </xf>
    <xf numFmtId="166" fontId="8" fillId="0" borderId="0" xfId="1" applyNumberFormat="1" applyFont="1" applyBorder="1" applyAlignment="1" applyProtection="1">
      <alignment horizontal="left"/>
      <protection locked="0"/>
    </xf>
    <xf numFmtId="169" fontId="11" fillId="0" borderId="0" xfId="2" applyNumberFormat="1" applyFont="1" applyFill="1" applyBorder="1" applyAlignment="1" applyProtection="1">
      <alignment horizontal="right" wrapText="1"/>
    </xf>
    <xf numFmtId="165" fontId="27" fillId="0" borderId="0" xfId="9" applyNumberFormat="1" applyFont="1" applyFill="1" applyBorder="1" applyAlignment="1" applyProtection="1">
      <alignment horizontal="right" wrapText="1"/>
      <protection locked="0"/>
    </xf>
    <xf numFmtId="165" fontId="11" fillId="0" borderId="0" xfId="0" applyNumberFormat="1" applyFont="1" applyAlignment="1">
      <alignment horizontal="right" wrapText="1"/>
    </xf>
    <xf numFmtId="165" fontId="12" fillId="0" borderId="3" xfId="2" applyNumberFormat="1" applyFont="1" applyFill="1" applyBorder="1" applyAlignment="1" applyProtection="1">
      <alignment horizontal="right" wrapText="1"/>
    </xf>
    <xf numFmtId="0" fontId="11" fillId="0" borderId="0" xfId="0" applyFont="1" applyAlignment="1" applyProtection="1">
      <alignment horizontal="right" vertical="top"/>
      <protection locked="0"/>
    </xf>
    <xf numFmtId="0" fontId="29" fillId="0" borderId="5" xfId="3" quotePrefix="1" applyFont="1" applyBorder="1" applyAlignment="1">
      <alignment horizontal="center"/>
    </xf>
    <xf numFmtId="0" fontId="29" fillId="0" borderId="5" xfId="3" quotePrefix="1" applyFont="1" applyBorder="1" applyAlignment="1">
      <alignment horizontal="left" wrapText="1"/>
    </xf>
    <xf numFmtId="169" fontId="29" fillId="0" borderId="5" xfId="3" applyNumberFormat="1" applyFont="1" applyBorder="1" applyAlignment="1">
      <alignment horizontal="right"/>
    </xf>
    <xf numFmtId="0" fontId="5" fillId="0" borderId="0" xfId="10" applyProtection="1">
      <protection locked="0"/>
    </xf>
    <xf numFmtId="0" fontId="30" fillId="0" borderId="0" xfId="10" applyFont="1" applyAlignment="1" applyProtection="1">
      <alignment horizontal="right" vertical="center" wrapText="1"/>
      <protection locked="0"/>
    </xf>
    <xf numFmtId="0" fontId="31" fillId="0" borderId="0" xfId="10" applyFont="1" applyAlignment="1" applyProtection="1">
      <alignment horizontal="right" vertical="center" wrapText="1"/>
      <protection locked="0"/>
    </xf>
    <xf numFmtId="0" fontId="32" fillId="0" borderId="0" xfId="10" applyFont="1" applyAlignment="1" applyProtection="1">
      <alignment horizontal="left" vertical="center"/>
      <protection locked="0"/>
    </xf>
    <xf numFmtId="0" fontId="33" fillId="0" borderId="0" xfId="10" applyFont="1" applyProtection="1">
      <protection locked="0"/>
    </xf>
    <xf numFmtId="0" fontId="33" fillId="0" borderId="0" xfId="10" applyFont="1" applyAlignment="1" applyProtection="1">
      <alignment vertical="top"/>
      <protection locked="0"/>
    </xf>
    <xf numFmtId="0" fontId="34" fillId="0" borderId="0" xfId="10" applyFont="1" applyAlignment="1" applyProtection="1">
      <alignment wrapText="1"/>
      <protection locked="0"/>
    </xf>
    <xf numFmtId="0" fontId="35" fillId="0" borderId="0" xfId="10" applyFont="1" applyProtection="1">
      <protection locked="0"/>
    </xf>
    <xf numFmtId="168" fontId="34" fillId="0" borderId="4" xfId="0" applyNumberFormat="1" applyFont="1" applyBorder="1" applyAlignment="1">
      <alignment horizontal="right" vertical="center"/>
    </xf>
    <xf numFmtId="0" fontId="36" fillId="0" borderId="4" xfId="10" applyFont="1" applyBorder="1" applyAlignment="1" applyProtection="1">
      <alignment horizontal="center" vertical="center" wrapText="1"/>
      <protection locked="0"/>
    </xf>
    <xf numFmtId="0" fontId="5" fillId="0" borderId="0" xfId="10" applyAlignment="1" applyProtection="1">
      <alignment vertical="top"/>
      <protection locked="0"/>
    </xf>
    <xf numFmtId="0" fontId="37" fillId="0" borderId="0" xfId="0" applyFont="1" applyAlignment="1">
      <alignment horizontal="right"/>
    </xf>
    <xf numFmtId="0" fontId="37" fillId="0" borderId="0" xfId="0" applyFont="1" applyAlignment="1">
      <alignment horizontal="left" wrapText="1"/>
    </xf>
    <xf numFmtId="169" fontId="37" fillId="0" borderId="0" xfId="0" quotePrefix="1" applyNumberFormat="1" applyFont="1" applyProtection="1">
      <protection locked="0"/>
    </xf>
    <xf numFmtId="169" fontId="5" fillId="0" borderId="0" xfId="10" applyNumberFormat="1" applyProtection="1">
      <protection locked="0"/>
    </xf>
    <xf numFmtId="0" fontId="38" fillId="0" borderId="0" xfId="0" applyFont="1" applyAlignment="1">
      <alignment horizontal="left" wrapText="1"/>
    </xf>
    <xf numFmtId="0" fontId="39" fillId="0" borderId="0" xfId="0" applyFont="1" applyAlignment="1">
      <alignment horizontal="left" wrapText="1" indent="1"/>
    </xf>
    <xf numFmtId="169" fontId="39" fillId="0" borderId="0" xfId="0" quotePrefix="1" applyNumberFormat="1" applyFont="1" applyProtection="1">
      <protection locked="0"/>
    </xf>
    <xf numFmtId="20" fontId="37" fillId="0" borderId="0" xfId="0" quotePrefix="1" applyNumberFormat="1" applyFont="1" applyAlignment="1">
      <alignment horizontal="right"/>
    </xf>
    <xf numFmtId="0" fontId="39" fillId="0" borderId="0" xfId="0" applyFont="1" applyAlignment="1">
      <alignment horizontal="left" wrapText="1"/>
    </xf>
    <xf numFmtId="0" fontId="5" fillId="0" borderId="0" xfId="10" applyAlignment="1" applyProtection="1">
      <alignment horizontal="left"/>
      <protection locked="0"/>
    </xf>
    <xf numFmtId="2" fontId="37" fillId="0" borderId="5" xfId="0" applyNumberFormat="1" applyFont="1" applyBorder="1" applyAlignment="1">
      <alignment horizontal="center"/>
    </xf>
    <xf numFmtId="2" fontId="40" fillId="0" borderId="5" xfId="0" applyNumberFormat="1" applyFont="1" applyBorder="1" applyAlignment="1">
      <alignment horizontal="left" wrapText="1"/>
    </xf>
    <xf numFmtId="169" fontId="40" fillId="0" borderId="5" xfId="0" quotePrefix="1" applyNumberFormat="1" applyFont="1" applyBorder="1" applyProtection="1">
      <protection locked="0"/>
    </xf>
    <xf numFmtId="169" fontId="40" fillId="0" borderId="5" xfId="10" applyNumberFormat="1" applyFont="1" applyBorder="1" applyAlignment="1" applyProtection="1">
      <alignment horizontal="right" wrapText="1"/>
      <protection locked="0"/>
    </xf>
    <xf numFmtId="0" fontId="41" fillId="0" borderId="0" xfId="10" applyFont="1" applyProtection="1">
      <protection locked="0"/>
    </xf>
    <xf numFmtId="0" fontId="42" fillId="2" borderId="0" xfId="10" applyFont="1" applyFill="1" applyAlignment="1" applyProtection="1">
      <alignment horizontal="right" wrapText="1"/>
      <protection locked="0"/>
    </xf>
    <xf numFmtId="0" fontId="42" fillId="0" borderId="0" xfId="10" applyFont="1" applyAlignment="1" applyProtection="1">
      <alignment horizontal="right" wrapText="1"/>
      <protection locked="0"/>
    </xf>
    <xf numFmtId="49" fontId="43" fillId="2" borderId="0" xfId="10" applyNumberFormat="1" applyFont="1" applyFill="1" applyAlignment="1" applyProtection="1">
      <alignment horizontal="right"/>
      <protection locked="0"/>
    </xf>
    <xf numFmtId="49" fontId="43" fillId="2" borderId="0" xfId="10" applyNumberFormat="1" applyFont="1" applyFill="1" applyAlignment="1" applyProtection="1">
      <alignment horizontal="left"/>
      <protection locked="0"/>
    </xf>
    <xf numFmtId="169" fontId="44" fillId="2" borderId="0" xfId="9" applyNumberFormat="1" applyFont="1" applyFill="1" applyBorder="1" applyAlignment="1" applyProtection="1">
      <alignment horizontal="right" wrapText="1"/>
      <protection locked="0"/>
    </xf>
    <xf numFmtId="49" fontId="43" fillId="2" borderId="0" xfId="10" applyNumberFormat="1" applyFont="1" applyFill="1" applyAlignment="1" applyProtection="1">
      <alignment horizontal="left" indent="1"/>
      <protection locked="0"/>
    </xf>
    <xf numFmtId="49" fontId="43" fillId="2" borderId="0" xfId="10" applyNumberFormat="1" applyFont="1" applyFill="1" applyAlignment="1" applyProtection="1">
      <alignment horizontal="right" vertical="top"/>
      <protection locked="0"/>
    </xf>
    <xf numFmtId="49" fontId="43" fillId="2" borderId="0" xfId="10" applyNumberFormat="1" applyFont="1" applyFill="1" applyAlignment="1" applyProtection="1">
      <alignment horizontal="left" wrapText="1" indent="1"/>
      <protection locked="0"/>
    </xf>
    <xf numFmtId="49" fontId="44" fillId="2" borderId="0" xfId="10" applyNumberFormat="1" applyFont="1" applyFill="1" applyAlignment="1" applyProtection="1">
      <alignment horizontal="left"/>
      <protection locked="0"/>
    </xf>
    <xf numFmtId="169" fontId="44" fillId="0" borderId="0" xfId="9" applyNumberFormat="1" applyFont="1" applyFill="1" applyBorder="1" applyAlignment="1" applyProtection="1">
      <alignment horizontal="right" wrapText="1"/>
      <protection locked="0"/>
    </xf>
    <xf numFmtId="0" fontId="46" fillId="0" borderId="5" xfId="36" quotePrefix="1" applyFont="1" applyBorder="1" applyAlignment="1">
      <alignment horizontal="left" wrapText="1"/>
    </xf>
    <xf numFmtId="0" fontId="49" fillId="0" borderId="0" xfId="0" applyFont="1"/>
    <xf numFmtId="0" fontId="51" fillId="0" borderId="0" xfId="0" applyFont="1"/>
    <xf numFmtId="0" fontId="52" fillId="0" borderId="0" xfId="0" applyFont="1"/>
    <xf numFmtId="0" fontId="53" fillId="0" borderId="0" xfId="36" applyFont="1"/>
    <xf numFmtId="0" fontId="54" fillId="0" borderId="0" xfId="32" applyFont="1" applyAlignment="1">
      <alignment horizontal="left" vertical="center"/>
    </xf>
    <xf numFmtId="168" fontId="55" fillId="0" borderId="4" xfId="36" applyNumberFormat="1" applyFont="1" applyBorder="1" applyAlignment="1" applyProtection="1">
      <alignment horizontal="right" vertical="top" wrapText="1"/>
      <protection locked="0"/>
    </xf>
    <xf numFmtId="168" fontId="55" fillId="0" borderId="4" xfId="36" applyNumberFormat="1" applyFont="1" applyBorder="1" applyAlignment="1" applyProtection="1">
      <alignment horizontal="center" vertical="top" wrapText="1"/>
      <protection locked="0"/>
    </xf>
    <xf numFmtId="168" fontId="55" fillId="3" borderId="4" xfId="36" applyNumberFormat="1" applyFont="1" applyFill="1" applyBorder="1" applyAlignment="1" applyProtection="1">
      <alignment horizontal="right" vertical="top" wrapText="1"/>
      <protection locked="0"/>
    </xf>
    <xf numFmtId="0" fontId="55" fillId="3" borderId="4" xfId="10" applyFont="1" applyFill="1" applyBorder="1" applyAlignment="1" applyProtection="1">
      <alignment horizontal="right" vertical="top" wrapText="1"/>
      <protection locked="0"/>
    </xf>
    <xf numFmtId="0" fontId="53" fillId="0" borderId="0" xfId="36" applyFont="1" applyAlignment="1">
      <alignment wrapText="1"/>
    </xf>
    <xf numFmtId="0" fontId="46" fillId="0" borderId="6" xfId="36" quotePrefix="1" applyFont="1" applyBorder="1" applyAlignment="1">
      <alignment horizontal="center"/>
    </xf>
    <xf numFmtId="0" fontId="46" fillId="0" borderId="6" xfId="36" quotePrefix="1" applyFont="1" applyBorder="1" applyAlignment="1">
      <alignment horizontal="left" wrapText="1"/>
    </xf>
    <xf numFmtId="0" fontId="46" fillId="0" borderId="0" xfId="36" quotePrefix="1" applyFont="1" applyAlignment="1">
      <alignment horizontal="center"/>
    </xf>
    <xf numFmtId="0" fontId="46" fillId="0" borderId="0" xfId="36" quotePrefix="1" applyFont="1" applyAlignment="1">
      <alignment horizontal="left" wrapText="1"/>
    </xf>
    <xf numFmtId="0" fontId="46" fillId="0" borderId="0" xfId="36" quotePrefix="1" applyFont="1" applyAlignment="1">
      <alignment horizontal="center" wrapText="1"/>
    </xf>
    <xf numFmtId="0" fontId="46" fillId="0" borderId="7" xfId="36" applyFont="1" applyBorder="1" applyAlignment="1" applyProtection="1">
      <alignment horizontal="center"/>
      <protection locked="0"/>
    </xf>
    <xf numFmtId="0" fontId="50" fillId="0" borderId="7" xfId="36" quotePrefix="1" applyFont="1" applyBorder="1" applyAlignment="1">
      <alignment horizontal="left" wrapText="1"/>
    </xf>
    <xf numFmtId="0" fontId="46" fillId="0" borderId="8" xfId="36" applyFont="1" applyBorder="1" applyAlignment="1">
      <alignment horizontal="center"/>
    </xf>
    <xf numFmtId="0" fontId="50" fillId="0" borderId="8" xfId="36" quotePrefix="1" applyFont="1" applyBorder="1" applyAlignment="1">
      <alignment horizontal="left" wrapText="1"/>
    </xf>
    <xf numFmtId="0" fontId="46" fillId="0" borderId="8" xfId="36" quotePrefix="1" applyFont="1" applyBorder="1" applyAlignment="1">
      <alignment horizontal="center"/>
    </xf>
    <xf numFmtId="0" fontId="46" fillId="0" borderId="8" xfId="36" quotePrefix="1" applyFont="1" applyBorder="1" applyAlignment="1">
      <alignment horizontal="left" wrapText="1"/>
    </xf>
    <xf numFmtId="49" fontId="46" fillId="0" borderId="0" xfId="36" quotePrefix="1" applyNumberFormat="1" applyFont="1" applyAlignment="1">
      <alignment horizontal="center"/>
    </xf>
    <xf numFmtId="0" fontId="46" fillId="0" borderId="5" xfId="36" quotePrefix="1" applyFont="1" applyBorder="1" applyAlignment="1">
      <alignment horizontal="center"/>
    </xf>
    <xf numFmtId="0" fontId="56" fillId="0" borderId="0" xfId="36" applyFont="1"/>
    <xf numFmtId="168" fontId="55" fillId="2" borderId="4" xfId="3" applyNumberFormat="1" applyFont="1" applyFill="1" applyBorder="1" applyAlignment="1" applyProtection="1">
      <alignment horizontal="center" vertical="top" wrapText="1"/>
      <protection locked="0"/>
    </xf>
    <xf numFmtId="168" fontId="55" fillId="3" borderId="4" xfId="3" applyNumberFormat="1" applyFont="1" applyFill="1" applyBorder="1" applyAlignment="1" applyProtection="1">
      <alignment horizontal="right" vertical="top" wrapText="1"/>
      <protection locked="0"/>
    </xf>
    <xf numFmtId="0" fontId="46" fillId="2" borderId="6" xfId="3" quotePrefix="1" applyFont="1" applyFill="1" applyBorder="1" applyAlignment="1">
      <alignment horizontal="center"/>
    </xf>
    <xf numFmtId="0" fontId="46" fillId="2" borderId="6" xfId="3" quotePrefix="1" applyFont="1" applyFill="1" applyBorder="1" applyAlignment="1">
      <alignment horizontal="left" wrapText="1"/>
    </xf>
    <xf numFmtId="169" fontId="46" fillId="2" borderId="6" xfId="3" applyNumberFormat="1" applyFont="1" applyFill="1" applyBorder="1" applyAlignment="1">
      <alignment horizontal="right"/>
    </xf>
    <xf numFmtId="169" fontId="46" fillId="3" borderId="6" xfId="3" applyNumberFormat="1" applyFont="1" applyFill="1" applyBorder="1" applyAlignment="1">
      <alignment horizontal="right"/>
    </xf>
    <xf numFmtId="0" fontId="46" fillId="2" borderId="0" xfId="3" quotePrefix="1" applyFont="1" applyFill="1" applyAlignment="1">
      <alignment horizontal="center"/>
    </xf>
    <xf numFmtId="0" fontId="46" fillId="2" borderId="0" xfId="3" quotePrefix="1" applyFont="1" applyFill="1" applyAlignment="1">
      <alignment horizontal="left" wrapText="1"/>
    </xf>
    <xf numFmtId="169" fontId="46" fillId="2" borderId="0" xfId="3" applyNumberFormat="1" applyFont="1" applyFill="1" applyAlignment="1">
      <alignment horizontal="right"/>
    </xf>
    <xf numFmtId="169" fontId="46" fillId="3" borderId="0" xfId="3" applyNumberFormat="1" applyFont="1" applyFill="1" applyAlignment="1">
      <alignment horizontal="right"/>
    </xf>
    <xf numFmtId="0" fontId="46" fillId="2" borderId="0" xfId="3" quotePrefix="1" applyFont="1" applyFill="1" applyAlignment="1">
      <alignment horizontal="center" wrapText="1"/>
    </xf>
    <xf numFmtId="0" fontId="46" fillId="2" borderId="7" xfId="3" applyFont="1" applyFill="1" applyBorder="1" applyAlignment="1" applyProtection="1">
      <alignment horizontal="center"/>
      <protection locked="0"/>
    </xf>
    <xf numFmtId="0" fontId="50" fillId="2" borderId="7" xfId="3" quotePrefix="1" applyFont="1" applyFill="1" applyBorder="1" applyAlignment="1">
      <alignment horizontal="left" wrapText="1"/>
    </xf>
    <xf numFmtId="169" fontId="50" fillId="2" borderId="7" xfId="3" applyNumberFormat="1" applyFont="1" applyFill="1" applyBorder="1" applyAlignment="1">
      <alignment horizontal="right"/>
    </xf>
    <xf numFmtId="169" fontId="50" fillId="3" borderId="7" xfId="3" applyNumberFormat="1" applyFont="1" applyFill="1" applyBorder="1" applyAlignment="1">
      <alignment horizontal="right"/>
    </xf>
    <xf numFmtId="0" fontId="46" fillId="2" borderId="0" xfId="3" quotePrefix="1" applyFont="1" applyFill="1" applyAlignment="1">
      <alignment horizontal="center" vertical="center"/>
    </xf>
    <xf numFmtId="0" fontId="46" fillId="2" borderId="8" xfId="3" applyFont="1" applyFill="1" applyBorder="1" applyAlignment="1">
      <alignment horizontal="center"/>
    </xf>
    <xf numFmtId="0" fontId="50" fillId="2" borderId="8" xfId="3" quotePrefix="1" applyFont="1" applyFill="1" applyBorder="1" applyAlignment="1">
      <alignment horizontal="left" wrapText="1"/>
    </xf>
    <xf numFmtId="169" fontId="50" fillId="2" borderId="8" xfId="3" applyNumberFormat="1" applyFont="1" applyFill="1" applyBorder="1" applyAlignment="1">
      <alignment horizontal="right"/>
    </xf>
    <xf numFmtId="169" fontId="50" fillId="3" borderId="8" xfId="3" applyNumberFormat="1" applyFont="1" applyFill="1" applyBorder="1" applyAlignment="1">
      <alignment horizontal="right"/>
    </xf>
    <xf numFmtId="0" fontId="46" fillId="2" borderId="0" xfId="3" quotePrefix="1" applyFont="1" applyFill="1" applyAlignment="1">
      <alignment horizontal="center" vertical="top"/>
    </xf>
    <xf numFmtId="0" fontId="46" fillId="2" borderId="8" xfId="3" quotePrefix="1" applyFont="1" applyFill="1" applyBorder="1" applyAlignment="1">
      <alignment horizontal="center" vertical="center"/>
    </xf>
    <xf numFmtId="0" fontId="46" fillId="2" borderId="8" xfId="3" quotePrefix="1" applyFont="1" applyFill="1" applyBorder="1" applyAlignment="1">
      <alignment horizontal="left" wrapText="1"/>
    </xf>
    <xf numFmtId="169" fontId="46" fillId="2" borderId="8" xfId="3" applyNumberFormat="1" applyFont="1" applyFill="1" applyBorder="1" applyAlignment="1">
      <alignment horizontal="right"/>
    </xf>
    <xf numFmtId="169" fontId="46" fillId="3" borderId="8" xfId="3" applyNumberFormat="1" applyFont="1" applyFill="1" applyBorder="1" applyAlignment="1">
      <alignment horizontal="right"/>
    </xf>
    <xf numFmtId="49" fontId="46" fillId="2" borderId="0" xfId="3" quotePrefix="1" applyNumberFormat="1" applyFont="1" applyFill="1" applyAlignment="1">
      <alignment horizontal="center" vertical="center"/>
    </xf>
    <xf numFmtId="0" fontId="46" fillId="2" borderId="0" xfId="3" quotePrefix="1" applyFont="1" applyFill="1" applyAlignment="1">
      <alignment horizontal="center" vertical="center" wrapText="1"/>
    </xf>
    <xf numFmtId="0" fontId="46" fillId="2" borderId="5" xfId="3" quotePrefix="1" applyFont="1" applyFill="1" applyBorder="1" applyAlignment="1">
      <alignment horizontal="center" vertical="top"/>
    </xf>
    <xf numFmtId="0" fontId="46" fillId="2" borderId="5" xfId="3" quotePrefix="1" applyFont="1" applyFill="1" applyBorder="1" applyAlignment="1">
      <alignment horizontal="left" wrapText="1"/>
    </xf>
    <xf numFmtId="169" fontId="46" fillId="2" borderId="5" xfId="3" applyNumberFormat="1" applyFont="1" applyFill="1" applyBorder="1" applyAlignment="1">
      <alignment horizontal="right"/>
    </xf>
    <xf numFmtId="169" fontId="46" fillId="3" borderId="5" xfId="3" applyNumberFormat="1" applyFont="1" applyFill="1" applyBorder="1" applyAlignment="1">
      <alignment horizontal="right"/>
    </xf>
    <xf numFmtId="0" fontId="46" fillId="2" borderId="7" xfId="3" applyFont="1" applyFill="1" applyBorder="1" applyAlignment="1" applyProtection="1">
      <alignment horizontal="center" vertical="top"/>
      <protection locked="0"/>
    </xf>
    <xf numFmtId="169" fontId="46" fillId="0" borderId="6" xfId="3" applyNumberFormat="1" applyFont="1" applyBorder="1" applyAlignment="1">
      <alignment horizontal="right"/>
    </xf>
    <xf numFmtId="169" fontId="46" fillId="3" borderId="6" xfId="0" applyNumberFormat="1" applyFont="1" applyFill="1" applyBorder="1" applyAlignment="1">
      <alignment horizontal="right" wrapText="1"/>
    </xf>
    <xf numFmtId="2" fontId="46" fillId="3" borderId="6" xfId="0" applyNumberFormat="1" applyFont="1" applyFill="1" applyBorder="1" applyAlignment="1">
      <alignment horizontal="right" wrapText="1"/>
    </xf>
    <xf numFmtId="169" fontId="46" fillId="0" borderId="0" xfId="3" applyNumberFormat="1" applyFont="1" applyAlignment="1">
      <alignment horizontal="right"/>
    </xf>
    <xf numFmtId="169" fontId="46" fillId="3" borderId="0" xfId="0" applyNumberFormat="1" applyFont="1" applyFill="1" applyAlignment="1">
      <alignment horizontal="right" wrapText="1"/>
    </xf>
    <xf numFmtId="2" fontId="46" fillId="3" borderId="0" xfId="0" applyNumberFormat="1" applyFont="1" applyFill="1" applyAlignment="1">
      <alignment horizontal="right" wrapText="1"/>
    </xf>
    <xf numFmtId="169" fontId="50" fillId="0" borderId="7" xfId="3" applyNumberFormat="1" applyFont="1" applyBorder="1" applyAlignment="1">
      <alignment horizontal="right"/>
    </xf>
    <xf numFmtId="169" fontId="50" fillId="3" borderId="7" xfId="0" applyNumberFormat="1" applyFont="1" applyFill="1" applyBorder="1" applyAlignment="1">
      <alignment horizontal="right" wrapText="1"/>
    </xf>
    <xf numFmtId="2" fontId="50" fillId="3" borderId="7" xfId="0" applyNumberFormat="1" applyFont="1" applyFill="1" applyBorder="1" applyAlignment="1">
      <alignment horizontal="right" wrapText="1"/>
    </xf>
    <xf numFmtId="169" fontId="50" fillId="0" borderId="8" xfId="3" applyNumberFormat="1" applyFont="1" applyBorder="1" applyAlignment="1">
      <alignment horizontal="right"/>
    </xf>
    <xf numFmtId="169" fontId="50" fillId="3" borderId="0" xfId="0" applyNumberFormat="1" applyFont="1" applyFill="1" applyAlignment="1">
      <alignment horizontal="right" wrapText="1"/>
    </xf>
    <xf numFmtId="2" fontId="50" fillId="3" borderId="0" xfId="0" applyNumberFormat="1" applyFont="1" applyFill="1" applyAlignment="1">
      <alignment horizontal="right" wrapText="1"/>
    </xf>
    <xf numFmtId="169" fontId="46" fillId="0" borderId="8" xfId="3" applyNumberFormat="1" applyFont="1" applyBorder="1" applyAlignment="1">
      <alignment horizontal="right"/>
    </xf>
    <xf numFmtId="169" fontId="46" fillId="0" borderId="5" xfId="3" applyNumberFormat="1" applyFont="1" applyBorder="1" applyAlignment="1">
      <alignment horizontal="right"/>
    </xf>
    <xf numFmtId="169" fontId="46" fillId="3" borderId="8" xfId="0" applyNumberFormat="1" applyFont="1" applyFill="1" applyBorder="1" applyAlignment="1">
      <alignment horizontal="right" wrapText="1"/>
    </xf>
    <xf numFmtId="2" fontId="46" fillId="3" borderId="8" xfId="0" quotePrefix="1" applyNumberFormat="1" applyFont="1" applyFill="1" applyBorder="1" applyAlignment="1">
      <alignment horizontal="right" wrapText="1"/>
    </xf>
    <xf numFmtId="0" fontId="57" fillId="0" borderId="0" xfId="0" applyFont="1"/>
    <xf numFmtId="0" fontId="58" fillId="0" borderId="0" xfId="0" applyFont="1" applyAlignment="1">
      <alignment horizontal="justify" vertical="center" wrapText="1" readingOrder="1"/>
    </xf>
    <xf numFmtId="0" fontId="45" fillId="0" borderId="6" xfId="38" quotePrefix="1" applyFont="1" applyBorder="1" applyAlignment="1">
      <alignment horizontal="left" wrapText="1"/>
    </xf>
    <xf numFmtId="169" fontId="45" fillId="0" borderId="6" xfId="38" applyNumberFormat="1" applyFont="1" applyBorder="1" applyAlignment="1">
      <alignment horizontal="right"/>
    </xf>
    <xf numFmtId="169" fontId="45" fillId="5" borderId="6" xfId="38" applyNumberFormat="1" applyFont="1" applyFill="1" applyBorder="1" applyAlignment="1">
      <alignment horizontal="right"/>
    </xf>
    <xf numFmtId="0" fontId="45" fillId="0" borderId="0" xfId="38" quotePrefix="1" applyFont="1" applyAlignment="1">
      <alignment horizontal="left" wrapText="1"/>
    </xf>
    <xf numFmtId="169" fontId="45" fillId="0" borderId="0" xfId="38" applyNumberFormat="1" applyFont="1" applyAlignment="1">
      <alignment horizontal="right"/>
    </xf>
    <xf numFmtId="169" fontId="45" fillId="5" borderId="0" xfId="38" applyNumberFormat="1" applyFont="1" applyFill="1" applyAlignment="1">
      <alignment horizontal="right"/>
    </xf>
    <xf numFmtId="0" fontId="47" fillId="0" borderId="7" xfId="38" quotePrefix="1" applyFont="1" applyBorder="1" applyAlignment="1">
      <alignment horizontal="left" wrapText="1"/>
    </xf>
    <xf numFmtId="169" fontId="47" fillId="0" borderId="7" xfId="38" applyNumberFormat="1" applyFont="1" applyBorder="1" applyAlignment="1">
      <alignment horizontal="right"/>
    </xf>
    <xf numFmtId="169" fontId="47" fillId="5" borderId="7" xfId="38" applyNumberFormat="1" applyFont="1" applyFill="1" applyBorder="1" applyAlignment="1">
      <alignment horizontal="right"/>
    </xf>
    <xf numFmtId="0" fontId="47" fillId="0" borderId="8" xfId="38" quotePrefix="1" applyFont="1" applyBorder="1" applyAlignment="1">
      <alignment horizontal="left" wrapText="1"/>
    </xf>
    <xf numFmtId="169" fontId="47" fillId="0" borderId="8" xfId="38" applyNumberFormat="1" applyFont="1" applyBorder="1" applyAlignment="1">
      <alignment horizontal="right"/>
    </xf>
    <xf numFmtId="169" fontId="47" fillId="5" borderId="8" xfId="38" applyNumberFormat="1" applyFont="1" applyFill="1" applyBorder="1" applyAlignment="1">
      <alignment horizontal="right"/>
    </xf>
    <xf numFmtId="0" fontId="45" fillId="2" borderId="0" xfId="37" quotePrefix="1" applyFont="1" applyFill="1" applyAlignment="1">
      <alignment horizontal="left" wrapText="1"/>
    </xf>
    <xf numFmtId="0" fontId="45" fillId="0" borderId="8" xfId="38" quotePrefix="1" applyFont="1" applyBorder="1" applyAlignment="1">
      <alignment horizontal="left" wrapText="1"/>
    </xf>
    <xf numFmtId="169" fontId="45" fillId="0" borderId="8" xfId="38" applyNumberFormat="1" applyFont="1" applyBorder="1" applyAlignment="1">
      <alignment horizontal="right"/>
    </xf>
    <xf numFmtId="169" fontId="45" fillId="5" borderId="8" xfId="38" applyNumberFormat="1" applyFont="1" applyFill="1" applyBorder="1" applyAlignment="1">
      <alignment horizontal="right"/>
    </xf>
    <xf numFmtId="0" fontId="61" fillId="0" borderId="0" xfId="37" applyFont="1"/>
    <xf numFmtId="0" fontId="48" fillId="0" borderId="5" xfId="10" applyFont="1" applyBorder="1" applyAlignment="1" applyProtection="1">
      <alignment horizontal="left" vertical="top" wrapText="1"/>
      <protection locked="0"/>
    </xf>
    <xf numFmtId="0" fontId="48" fillId="0" borderId="5" xfId="10" applyFont="1" applyBorder="1" applyAlignment="1" applyProtection="1">
      <alignment horizontal="right" vertical="top" wrapText="1"/>
      <protection locked="0"/>
    </xf>
    <xf numFmtId="0" fontId="48" fillId="5" borderId="5" xfId="10" applyFont="1" applyFill="1" applyBorder="1" applyAlignment="1" applyProtection="1">
      <alignment horizontal="right" vertical="top" wrapText="1"/>
      <protection locked="0"/>
    </xf>
    <xf numFmtId="0" fontId="62" fillId="2" borderId="0" xfId="37" quotePrefix="1" applyFont="1" applyFill="1" applyAlignment="1">
      <alignment horizontal="left" wrapText="1"/>
    </xf>
    <xf numFmtId="178" fontId="62" fillId="0" borderId="0" xfId="37" quotePrefix="1" applyNumberFormat="1" applyFont="1" applyAlignment="1">
      <alignment wrapText="1"/>
    </xf>
    <xf numFmtId="178" fontId="62" fillId="5" borderId="0" xfId="37" quotePrefix="1" applyNumberFormat="1" applyFont="1" applyFill="1" applyAlignment="1">
      <alignment wrapText="1"/>
    </xf>
    <xf numFmtId="0" fontId="59" fillId="2" borderId="0" xfId="0" applyFont="1" applyFill="1"/>
    <xf numFmtId="0" fontId="63" fillId="2" borderId="0" xfId="0" applyFont="1" applyFill="1" applyAlignment="1">
      <alignment horizontal="right"/>
    </xf>
    <xf numFmtId="0" fontId="48" fillId="0" borderId="11" xfId="32" applyFont="1" applyBorder="1" applyAlignment="1">
      <alignment horizontal="right"/>
    </xf>
    <xf numFmtId="0" fontId="55" fillId="0" borderId="4" xfId="36" quotePrefix="1" applyFont="1" applyBorder="1" applyAlignment="1">
      <alignment horizontal="left" vertical="top"/>
    </xf>
    <xf numFmtId="0" fontId="55" fillId="2" borderId="4" xfId="3" quotePrefix="1" applyFont="1" applyFill="1" applyBorder="1" applyAlignment="1">
      <alignment horizontal="left" vertical="top"/>
    </xf>
    <xf numFmtId="0" fontId="30" fillId="0" borderId="0" xfId="10" applyFont="1" applyAlignment="1" applyProtection="1">
      <alignment horizontal="right" vertical="center" wrapText="1"/>
      <protection locked="0"/>
    </xf>
    <xf numFmtId="0" fontId="31" fillId="0" borderId="0" xfId="10" applyFont="1" applyAlignment="1" applyProtection="1">
      <alignment horizontal="right" vertical="center" wrapText="1"/>
      <protection locked="0"/>
    </xf>
    <xf numFmtId="0" fontId="34" fillId="0" borderId="11" xfId="10" applyFont="1" applyBorder="1" applyAlignment="1" applyProtection="1">
      <alignment horizontal="right" wrapText="1"/>
      <protection locked="0"/>
    </xf>
    <xf numFmtId="0" fontId="34" fillId="0" borderId="4" xfId="0" applyFont="1" applyBorder="1" applyAlignment="1">
      <alignment horizontal="left" vertical="top"/>
    </xf>
    <xf numFmtId="0" fontId="34" fillId="2" borderId="7" xfId="10" applyFont="1" applyFill="1" applyBorder="1" applyAlignment="1" applyProtection="1">
      <alignment horizontal="right" wrapText="1"/>
      <protection locked="0"/>
    </xf>
    <xf numFmtId="0" fontId="28" fillId="0" borderId="0" xfId="0" applyFont="1" applyAlignment="1">
      <alignment horizontal="left" vertical="top" wrapText="1"/>
    </xf>
    <xf numFmtId="0" fontId="15" fillId="2" borderId="4" xfId="0" applyFont="1" applyFill="1" applyBorder="1" applyAlignment="1" applyProtection="1">
      <alignment horizontal="left" vertical="top" wrapText="1"/>
      <protection locked="0"/>
    </xf>
    <xf numFmtId="0" fontId="12" fillId="0" borderId="0" xfId="0" applyFont="1" applyAlignment="1" applyProtection="1">
      <alignment horizontal="right" wrapText="1"/>
      <protection locked="0"/>
    </xf>
    <xf numFmtId="49" fontId="8" fillId="0" borderId="0" xfId="0" applyNumberFormat="1" applyFont="1" applyAlignment="1" applyProtection="1">
      <alignment horizontal="justify" vertical="top" wrapText="1"/>
      <protection locked="0"/>
    </xf>
    <xf numFmtId="49" fontId="8" fillId="0" borderId="0" xfId="0" applyNumberFormat="1" applyFont="1" applyAlignment="1" applyProtection="1">
      <alignment horizontal="left" wrapText="1"/>
      <protection locked="0"/>
    </xf>
    <xf numFmtId="0" fontId="11" fillId="0" borderId="0" xfId="0" applyFont="1" applyAlignment="1">
      <alignment wrapText="1"/>
    </xf>
    <xf numFmtId="0" fontId="11" fillId="0" borderId="0" xfId="0" applyFont="1"/>
    <xf numFmtId="49" fontId="10" fillId="0" borderId="3" xfId="0" applyNumberFormat="1" applyFont="1" applyBorder="1" applyAlignment="1" applyProtection="1">
      <alignment horizontal="left" wrapText="1"/>
      <protection locked="0"/>
    </xf>
    <xf numFmtId="49" fontId="8" fillId="0" borderId="0" xfId="0" applyNumberFormat="1" applyFont="1" applyAlignment="1" applyProtection="1">
      <alignment horizontal="left" vertical="top" wrapText="1"/>
      <protection locked="0"/>
    </xf>
    <xf numFmtId="49" fontId="10" fillId="0" borderId="0" xfId="0" applyNumberFormat="1" applyFont="1" applyAlignment="1" applyProtection="1">
      <alignment horizontal="left" wrapText="1"/>
      <protection locked="0"/>
    </xf>
    <xf numFmtId="0" fontId="13" fillId="0" borderId="0" xfId="0" applyFont="1" applyAlignment="1" applyProtection="1">
      <alignment horizontal="right"/>
      <protection locked="0"/>
    </xf>
    <xf numFmtId="49" fontId="10" fillId="0" borderId="5" xfId="0" applyNumberFormat="1" applyFont="1" applyBorder="1" applyAlignment="1" applyProtection="1">
      <alignment horizontal="left" wrapText="1"/>
      <protection locked="0"/>
    </xf>
    <xf numFmtId="0" fontId="15" fillId="2" borderId="4" xfId="0" applyFont="1" applyFill="1" applyBorder="1" applyAlignment="1" applyProtection="1">
      <alignment horizontal="justify" vertical="top" wrapText="1"/>
      <protection locked="0"/>
    </xf>
    <xf numFmtId="49" fontId="8" fillId="0" borderId="0" xfId="0" applyNumberFormat="1" applyFont="1" applyAlignment="1" applyProtection="1">
      <alignment horizontal="justify" wrapText="1"/>
      <protection locked="0"/>
    </xf>
    <xf numFmtId="0" fontId="15" fillId="2" borderId="4" xfId="3" quotePrefix="1" applyFont="1" applyFill="1" applyBorder="1" applyAlignment="1">
      <alignment horizontal="left" vertical="top"/>
    </xf>
    <xf numFmtId="0" fontId="64" fillId="2" borderId="0" xfId="0" applyFont="1" applyFill="1"/>
    <xf numFmtId="0" fontId="65" fillId="2" borderId="0" xfId="0" applyFont="1" applyFill="1"/>
    <xf numFmtId="0" fontId="66" fillId="2" borderId="0" xfId="0" applyFont="1" applyFill="1"/>
    <xf numFmtId="0" fontId="64" fillId="2" borderId="13" xfId="0" applyFont="1" applyFill="1" applyBorder="1" applyAlignment="1">
      <alignment horizontal="center"/>
    </xf>
    <xf numFmtId="0" fontId="67" fillId="2" borderId="29" xfId="0" quotePrefix="1" applyFont="1" applyFill="1" applyBorder="1" applyAlignment="1">
      <alignment vertical="top"/>
    </xf>
    <xf numFmtId="168" fontId="68" fillId="4" borderId="29" xfId="0" applyNumberFormat="1" applyFont="1" applyFill="1" applyBorder="1" applyAlignment="1">
      <alignment horizontal="right" vertical="top"/>
    </xf>
    <xf numFmtId="168" fontId="67" fillId="2" borderId="29" xfId="0" applyNumberFormat="1" applyFont="1" applyFill="1" applyBorder="1" applyAlignment="1">
      <alignment horizontal="right" vertical="top"/>
    </xf>
    <xf numFmtId="168" fontId="67" fillId="2" borderId="29" xfId="0" applyNumberFormat="1" applyFont="1" applyFill="1" applyBorder="1" applyAlignment="1">
      <alignment horizontal="right" vertical="top" wrapText="1"/>
    </xf>
    <xf numFmtId="168" fontId="67" fillId="2" borderId="33" xfId="0" applyNumberFormat="1" applyFont="1" applyFill="1" applyBorder="1" applyAlignment="1">
      <alignment horizontal="right" vertical="top" wrapText="1"/>
    </xf>
    <xf numFmtId="0" fontId="65" fillId="2" borderId="0" xfId="0" quotePrefix="1" applyFont="1" applyFill="1" applyAlignment="1">
      <alignment wrapText="1"/>
    </xf>
    <xf numFmtId="178" fontId="65" fillId="6" borderId="0" xfId="32" quotePrefix="1" applyNumberFormat="1" applyFont="1" applyFill="1" applyAlignment="1">
      <alignment horizontal="right" wrapText="1"/>
    </xf>
    <xf numFmtId="178" fontId="65" fillId="2" borderId="0" xfId="0" quotePrefix="1" applyNumberFormat="1" applyFont="1" applyFill="1" applyAlignment="1">
      <alignment wrapText="1"/>
    </xf>
    <xf numFmtId="10" fontId="65" fillId="2" borderId="0" xfId="8" quotePrefix="1" applyNumberFormat="1" applyFont="1" applyFill="1" applyBorder="1" applyAlignment="1" applyProtection="1">
      <alignment horizontal="right" wrapText="1"/>
    </xf>
    <xf numFmtId="178" fontId="65" fillId="2" borderId="15" xfId="0" quotePrefix="1" applyNumberFormat="1" applyFont="1" applyFill="1" applyBorder="1" applyAlignment="1">
      <alignment wrapText="1"/>
    </xf>
    <xf numFmtId="0" fontId="65" fillId="2" borderId="0" xfId="0" quotePrefix="1" applyFont="1" applyFill="1" applyAlignment="1">
      <alignment horizontal="left" wrapText="1" indent="1"/>
    </xf>
    <xf numFmtId="0" fontId="65" fillId="2" borderId="0" xfId="0" quotePrefix="1" applyFont="1" applyFill="1" applyAlignment="1">
      <alignment horizontal="left" wrapText="1"/>
    </xf>
    <xf numFmtId="178" fontId="69" fillId="6" borderId="0" xfId="32" quotePrefix="1" applyNumberFormat="1" applyFont="1" applyFill="1" applyAlignment="1">
      <alignment horizontal="right" wrapText="1"/>
    </xf>
    <xf numFmtId="0" fontId="67" fillId="2" borderId="5" xfId="0" quotePrefix="1" applyFont="1" applyFill="1" applyBorder="1" applyAlignment="1">
      <alignment wrapText="1"/>
    </xf>
    <xf numFmtId="178" fontId="67" fillId="6" borderId="29" xfId="32" quotePrefix="1" applyNumberFormat="1" applyFont="1" applyFill="1" applyBorder="1" applyAlignment="1">
      <alignment horizontal="right" wrapText="1"/>
    </xf>
    <xf numFmtId="178" fontId="67" fillId="2" borderId="5" xfId="0" quotePrefix="1" applyNumberFormat="1" applyFont="1" applyFill="1" applyBorder="1" applyAlignment="1">
      <alignment wrapText="1"/>
    </xf>
    <xf numFmtId="10" fontId="67" fillId="2" borderId="5" xfId="8" quotePrefix="1" applyNumberFormat="1" applyFont="1" applyFill="1" applyBorder="1" applyAlignment="1" applyProtection="1">
      <alignment horizontal="right" wrapText="1"/>
    </xf>
    <xf numFmtId="178" fontId="67" fillId="2" borderId="16" xfId="0" quotePrefix="1" applyNumberFormat="1" applyFont="1" applyFill="1" applyBorder="1" applyAlignment="1">
      <alignment wrapText="1"/>
    </xf>
    <xf numFmtId="0" fontId="65" fillId="2" borderId="15" xfId="0" applyFont="1" applyFill="1" applyBorder="1"/>
    <xf numFmtId="4" fontId="64" fillId="2" borderId="29" xfId="0" quotePrefix="1" applyNumberFormat="1" applyFont="1" applyFill="1" applyBorder="1" applyAlignment="1">
      <alignment horizontal="left" vertical="center" wrapText="1"/>
    </xf>
    <xf numFmtId="168" fontId="68" fillId="4" borderId="29" xfId="32" quotePrefix="1" applyNumberFormat="1" applyFont="1" applyFill="1" applyBorder="1" applyAlignment="1">
      <alignment horizontal="right" vertical="top" wrapText="1"/>
    </xf>
    <xf numFmtId="168" fontId="70" fillId="2" borderId="29" xfId="0" applyNumberFormat="1" applyFont="1" applyFill="1" applyBorder="1" applyAlignment="1">
      <alignment horizontal="right" vertical="top"/>
    </xf>
    <xf numFmtId="168" fontId="70" fillId="2" borderId="29" xfId="0" applyNumberFormat="1" applyFont="1" applyFill="1" applyBorder="1" applyAlignment="1">
      <alignment horizontal="right" vertical="top" wrapText="1"/>
    </xf>
    <xf numFmtId="0" fontId="71" fillId="2" borderId="0" xfId="0" applyFont="1" applyFill="1"/>
    <xf numFmtId="168" fontId="64" fillId="2" borderId="29" xfId="0" applyNumberFormat="1" applyFont="1" applyFill="1" applyBorder="1" applyAlignment="1">
      <alignment horizontal="right" vertical="top"/>
    </xf>
    <xf numFmtId="168" fontId="64" fillId="2" borderId="33" xfId="0" applyNumberFormat="1" applyFont="1" applyFill="1" applyBorder="1" applyAlignment="1">
      <alignment horizontal="right" vertical="top" wrapText="1"/>
    </xf>
    <xf numFmtId="178" fontId="65" fillId="6" borderId="0" xfId="32" applyNumberFormat="1" applyFont="1" applyFill="1" applyAlignment="1">
      <alignment horizontal="right"/>
    </xf>
    <xf numFmtId="178" fontId="65" fillId="2" borderId="0" xfId="0" quotePrefix="1" applyNumberFormat="1" applyFont="1" applyFill="1" applyAlignment="1">
      <alignment horizontal="right" wrapText="1"/>
    </xf>
    <xf numFmtId="178" fontId="65" fillId="2" borderId="0" xfId="0" applyNumberFormat="1" applyFont="1" applyFill="1"/>
    <xf numFmtId="178" fontId="65" fillId="2" borderId="15" xfId="0" applyNumberFormat="1" applyFont="1" applyFill="1" applyBorder="1"/>
    <xf numFmtId="178" fontId="65" fillId="2" borderId="0" xfId="0" applyNumberFormat="1" applyFont="1" applyFill="1" applyAlignment="1">
      <alignment wrapText="1"/>
    </xf>
    <xf numFmtId="178" fontId="65" fillId="2" borderId="0" xfId="0" applyNumberFormat="1" applyFont="1" applyFill="1" applyAlignment="1">
      <alignment horizontal="right"/>
    </xf>
    <xf numFmtId="178" fontId="65" fillId="6" borderId="10" xfId="32" applyNumberFormat="1" applyFont="1" applyFill="1" applyBorder="1" applyAlignment="1">
      <alignment horizontal="right" vertical="center"/>
    </xf>
    <xf numFmtId="178" fontId="67" fillId="6" borderId="29" xfId="32" applyNumberFormat="1" applyFont="1" applyFill="1" applyBorder="1" applyAlignment="1">
      <alignment horizontal="right"/>
    </xf>
    <xf numFmtId="178" fontId="67" fillId="2" borderId="5" xfId="0" applyNumberFormat="1" applyFont="1" applyFill="1" applyBorder="1"/>
    <xf numFmtId="178" fontId="67" fillId="2" borderId="16" xfId="0" applyNumberFormat="1" applyFont="1" applyFill="1" applyBorder="1"/>
    <xf numFmtId="178" fontId="67" fillId="2" borderId="5" xfId="0" applyNumberFormat="1" applyFont="1" applyFill="1" applyBorder="1" applyAlignment="1">
      <alignment horizontal="right"/>
    </xf>
    <xf numFmtId="0" fontId="65" fillId="2" borderId="17" xfId="0" applyFont="1" applyFill="1" applyBorder="1"/>
    <xf numFmtId="0" fontId="65" fillId="2" borderId="0" xfId="0" applyFont="1" applyFill="1" applyAlignment="1">
      <alignment horizontal="left" vertical="top" wrapText="1"/>
    </xf>
    <xf numFmtId="0" fontId="64" fillId="2" borderId="29" xfId="36" quotePrefix="1" applyFont="1" applyFill="1" applyBorder="1" applyAlignment="1">
      <alignment horizontal="left" vertical="top"/>
    </xf>
    <xf numFmtId="168" fontId="68" fillId="4" borderId="29" xfId="36" applyNumberFormat="1" applyFont="1" applyFill="1" applyBorder="1" applyAlignment="1" applyProtection="1">
      <alignment horizontal="right" vertical="top" wrapText="1"/>
      <protection locked="0"/>
    </xf>
    <xf numFmtId="168" fontId="67" fillId="2" borderId="29" xfId="36" applyNumberFormat="1" applyFont="1" applyFill="1" applyBorder="1" applyAlignment="1" applyProtection="1">
      <alignment horizontal="right" vertical="top" wrapText="1"/>
      <protection locked="0"/>
    </xf>
    <xf numFmtId="0" fontId="67" fillId="2" borderId="29" xfId="10" applyFont="1" applyFill="1" applyBorder="1" applyAlignment="1" applyProtection="1">
      <alignment horizontal="right" vertical="top" wrapText="1"/>
      <protection locked="0"/>
    </xf>
    <xf numFmtId="168" fontId="67" fillId="2" borderId="29" xfId="38" applyNumberFormat="1" applyFont="1" applyFill="1" applyBorder="1" applyAlignment="1" applyProtection="1">
      <alignment horizontal="right" vertical="top" wrapText="1"/>
      <protection locked="0"/>
    </xf>
    <xf numFmtId="0" fontId="64" fillId="2" borderId="4" xfId="0" quotePrefix="1" applyFont="1" applyFill="1" applyBorder="1" applyAlignment="1">
      <alignment horizontal="left" vertical="top"/>
    </xf>
    <xf numFmtId="168" fontId="64" fillId="2" borderId="4" xfId="0" applyNumberFormat="1" applyFont="1" applyFill="1" applyBorder="1" applyAlignment="1">
      <alignment horizontal="right" vertical="top" wrapText="1"/>
    </xf>
    <xf numFmtId="168" fontId="64" fillId="2" borderId="21" xfId="0" applyNumberFormat="1" applyFont="1" applyFill="1" applyBorder="1" applyAlignment="1">
      <alignment horizontal="right" vertical="top" wrapText="1"/>
    </xf>
    <xf numFmtId="168" fontId="64" fillId="2" borderId="22" xfId="0" applyNumberFormat="1" applyFont="1" applyFill="1" applyBorder="1" applyAlignment="1">
      <alignment horizontal="right" vertical="top" wrapText="1"/>
    </xf>
    <xf numFmtId="0" fontId="64" fillId="2" borderId="4" xfId="0" quotePrefix="1" applyFont="1" applyFill="1" applyBorder="1" applyAlignment="1">
      <alignment horizontal="right" vertical="top"/>
    </xf>
    <xf numFmtId="0" fontId="65" fillId="2" borderId="32" xfId="36" quotePrefix="1" applyFont="1" applyFill="1" applyBorder="1" applyAlignment="1">
      <alignment horizontal="center" wrapText="1"/>
    </xf>
    <xf numFmtId="0" fontId="65" fillId="2" borderId="32" xfId="36" quotePrefix="1" applyFont="1" applyFill="1" applyBorder="1" applyAlignment="1">
      <alignment horizontal="left" wrapText="1"/>
    </xf>
    <xf numFmtId="169" fontId="65" fillId="6" borderId="0" xfId="36" applyNumberFormat="1" applyFont="1" applyFill="1" applyAlignment="1">
      <alignment horizontal="right"/>
    </xf>
    <xf numFmtId="169" fontId="65" fillId="2" borderId="32" xfId="36" applyNumberFormat="1" applyFont="1" applyFill="1" applyBorder="1" applyAlignment="1">
      <alignment horizontal="right"/>
    </xf>
    <xf numFmtId="169" fontId="65" fillId="2" borderId="32" xfId="0" applyNumberFormat="1" applyFont="1" applyFill="1" applyBorder="1" applyAlignment="1">
      <alignment horizontal="right" wrapText="1"/>
    </xf>
    <xf numFmtId="2" fontId="65" fillId="2" borderId="32" xfId="0" applyNumberFormat="1" applyFont="1" applyFill="1" applyBorder="1" applyAlignment="1">
      <alignment horizontal="right" wrapText="1"/>
    </xf>
    <xf numFmtId="169" fontId="65" fillId="2" borderId="32" xfId="38" applyNumberFormat="1" applyFont="1" applyFill="1" applyBorder="1" applyAlignment="1">
      <alignment horizontal="right"/>
    </xf>
    <xf numFmtId="0" fontId="65" fillId="2" borderId="0" xfId="0" quotePrefix="1" applyFont="1" applyFill="1" applyAlignment="1">
      <alignment horizontal="center" wrapText="1"/>
    </xf>
    <xf numFmtId="178" fontId="65" fillId="2" borderId="23" xfId="0" quotePrefix="1" applyNumberFormat="1" applyFont="1" applyFill="1" applyBorder="1" applyAlignment="1">
      <alignment wrapText="1"/>
    </xf>
    <xf numFmtId="178" fontId="65" fillId="2" borderId="24" xfId="0" quotePrefix="1" applyNumberFormat="1" applyFont="1" applyFill="1" applyBorder="1" applyAlignment="1">
      <alignment wrapText="1"/>
    </xf>
    <xf numFmtId="0" fontId="65" fillId="2" borderId="0" xfId="36" quotePrefix="1" applyFont="1" applyFill="1" applyAlignment="1">
      <alignment horizontal="center" wrapText="1"/>
    </xf>
    <xf numFmtId="0" fontId="65" fillId="2" borderId="0" xfId="36" quotePrefix="1" applyFont="1" applyFill="1" applyAlignment="1">
      <alignment horizontal="left" wrapText="1"/>
    </xf>
    <xf numFmtId="169" fontId="65" fillId="2" borderId="0" xfId="36" applyNumberFormat="1" applyFont="1" applyFill="1" applyAlignment="1">
      <alignment horizontal="right"/>
    </xf>
    <xf numFmtId="169" fontId="65" fillId="2" borderId="0" xfId="0" applyNumberFormat="1" applyFont="1" applyFill="1" applyAlignment="1">
      <alignment horizontal="right" wrapText="1"/>
    </xf>
    <xf numFmtId="2" fontId="65" fillId="2" borderId="0" xfId="0" applyNumberFormat="1" applyFont="1" applyFill="1" applyAlignment="1">
      <alignment horizontal="right" wrapText="1"/>
    </xf>
    <xf numFmtId="169" fontId="65" fillId="2" borderId="0" xfId="38" applyNumberFormat="1" applyFont="1" applyFill="1" applyAlignment="1">
      <alignment horizontal="right"/>
    </xf>
    <xf numFmtId="0" fontId="67" fillId="2" borderId="7" xfId="0" quotePrefix="1" applyFont="1" applyFill="1" applyBorder="1" applyAlignment="1">
      <alignment horizontal="center" wrapText="1"/>
    </xf>
    <xf numFmtId="0" fontId="67" fillId="2" borderId="7" xfId="0" quotePrefix="1" applyFont="1" applyFill="1" applyBorder="1" applyAlignment="1">
      <alignment wrapText="1"/>
    </xf>
    <xf numFmtId="178" fontId="67" fillId="2" borderId="7" xfId="0" quotePrefix="1" applyNumberFormat="1" applyFont="1" applyFill="1" applyBorder="1" applyAlignment="1">
      <alignment wrapText="1"/>
    </xf>
    <xf numFmtId="178" fontId="67" fillId="2" borderId="34" xfId="0" quotePrefix="1" applyNumberFormat="1" applyFont="1" applyFill="1" applyBorder="1" applyAlignment="1">
      <alignment wrapText="1"/>
    </xf>
    <xf numFmtId="178" fontId="67" fillId="2" borderId="35" xfId="0" quotePrefix="1" applyNumberFormat="1" applyFont="1" applyFill="1" applyBorder="1" applyAlignment="1">
      <alignment wrapText="1"/>
    </xf>
    <xf numFmtId="178" fontId="67" fillId="2" borderId="7" xfId="0" quotePrefix="1" applyNumberFormat="1" applyFont="1" applyFill="1" applyBorder="1" applyAlignment="1">
      <alignment horizontal="right" wrapText="1"/>
    </xf>
    <xf numFmtId="0" fontId="65" fillId="2" borderId="10" xfId="36" applyFont="1" applyFill="1" applyBorder="1" applyAlignment="1" applyProtection="1">
      <alignment horizontal="center" wrapText="1"/>
      <protection locked="0"/>
    </xf>
    <xf numFmtId="0" fontId="67" fillId="2" borderId="10" xfId="36" quotePrefix="1" applyFont="1" applyFill="1" applyBorder="1" applyAlignment="1">
      <alignment horizontal="left" wrapText="1"/>
    </xf>
    <xf numFmtId="169" fontId="67" fillId="6" borderId="10" xfId="36" applyNumberFormat="1" applyFont="1" applyFill="1" applyBorder="1" applyAlignment="1">
      <alignment horizontal="right"/>
    </xf>
    <xf numFmtId="169" fontId="67" fillId="2" borderId="10" xfId="36" applyNumberFormat="1" applyFont="1" applyFill="1" applyBorder="1" applyAlignment="1">
      <alignment horizontal="right"/>
    </xf>
    <xf numFmtId="169" fontId="67" fillId="2" borderId="10" xfId="0" applyNumberFormat="1" applyFont="1" applyFill="1" applyBorder="1" applyAlignment="1">
      <alignment horizontal="right" wrapText="1"/>
    </xf>
    <xf numFmtId="2" fontId="67" fillId="2" borderId="10" xfId="0" applyNumberFormat="1" applyFont="1" applyFill="1" applyBorder="1" applyAlignment="1">
      <alignment horizontal="right" wrapText="1"/>
    </xf>
    <xf numFmtId="169" fontId="67" fillId="2" borderId="10" xfId="38" applyNumberFormat="1" applyFont="1" applyFill="1" applyBorder="1" applyAlignment="1">
      <alignment horizontal="right"/>
    </xf>
    <xf numFmtId="169" fontId="65" fillId="6" borderId="32" xfId="36" applyNumberFormat="1" applyFont="1" applyFill="1" applyBorder="1" applyAlignment="1">
      <alignment horizontal="right"/>
    </xf>
    <xf numFmtId="0" fontId="67" fillId="2" borderId="8" xfId="0" quotePrefix="1" applyFont="1" applyFill="1" applyBorder="1" applyAlignment="1">
      <alignment horizontal="center" wrapText="1"/>
    </xf>
    <xf numFmtId="0" fontId="67" fillId="2" borderId="8" xfId="0" quotePrefix="1" applyFont="1" applyFill="1" applyBorder="1" applyAlignment="1">
      <alignment wrapText="1"/>
    </xf>
    <xf numFmtId="178" fontId="67" fillId="2" borderId="8" xfId="0" quotePrefix="1" applyNumberFormat="1" applyFont="1" applyFill="1" applyBorder="1" applyAlignment="1">
      <alignment wrapText="1"/>
    </xf>
    <xf numFmtId="178" fontId="67" fillId="2" borderId="36" xfId="0" quotePrefix="1" applyNumberFormat="1" applyFont="1" applyFill="1" applyBorder="1" applyAlignment="1">
      <alignment wrapText="1"/>
    </xf>
    <xf numFmtId="178" fontId="67" fillId="2" borderId="37" xfId="0" quotePrefix="1" applyNumberFormat="1" applyFont="1" applyFill="1" applyBorder="1" applyAlignment="1">
      <alignment wrapText="1"/>
    </xf>
    <xf numFmtId="178" fontId="67" fillId="2" borderId="8" xfId="0" quotePrefix="1" applyNumberFormat="1" applyFont="1" applyFill="1" applyBorder="1" applyAlignment="1">
      <alignment horizontal="right" wrapText="1"/>
    </xf>
    <xf numFmtId="0" fontId="65" fillId="2" borderId="32" xfId="36" applyFont="1" applyFill="1" applyBorder="1" applyAlignment="1" applyProtection="1">
      <alignment horizontal="center" wrapText="1"/>
      <protection locked="0"/>
    </xf>
    <xf numFmtId="0" fontId="67" fillId="2" borderId="32" xfId="36" quotePrefix="1" applyFont="1" applyFill="1" applyBorder="1" applyAlignment="1">
      <alignment horizontal="left" wrapText="1"/>
    </xf>
    <xf numFmtId="169" fontId="67" fillId="6" borderId="32" xfId="36" applyNumberFormat="1" applyFont="1" applyFill="1" applyBorder="1" applyAlignment="1">
      <alignment horizontal="right"/>
    </xf>
    <xf numFmtId="169" fontId="67" fillId="2" borderId="32" xfId="36" applyNumberFormat="1" applyFont="1" applyFill="1" applyBorder="1" applyAlignment="1">
      <alignment horizontal="right"/>
    </xf>
    <xf numFmtId="169" fontId="67" fillId="2" borderId="32" xfId="0" applyNumberFormat="1" applyFont="1" applyFill="1" applyBorder="1" applyAlignment="1">
      <alignment horizontal="right" wrapText="1"/>
    </xf>
    <xf numFmtId="2" fontId="67" fillId="2" borderId="32" xfId="0" applyNumberFormat="1" applyFont="1" applyFill="1" applyBorder="1" applyAlignment="1">
      <alignment horizontal="right" wrapText="1"/>
    </xf>
    <xf numFmtId="169" fontId="67" fillId="2" borderId="32" xfId="38" applyNumberFormat="1" applyFont="1" applyFill="1" applyBorder="1" applyAlignment="1">
      <alignment horizontal="right"/>
    </xf>
    <xf numFmtId="0" fontId="65" fillId="2" borderId="0" xfId="0" applyFont="1" applyFill="1" applyAlignment="1">
      <alignment horizontal="center" vertical="top" wrapText="1"/>
    </xf>
    <xf numFmtId="178" fontId="69" fillId="2" borderId="23" xfId="0" quotePrefix="1" applyNumberFormat="1" applyFont="1" applyFill="1" applyBorder="1" applyAlignment="1">
      <alignment wrapText="1"/>
    </xf>
    <xf numFmtId="178" fontId="69" fillId="2" borderId="0" xfId="0" quotePrefix="1" applyNumberFormat="1" applyFont="1" applyFill="1" applyAlignment="1">
      <alignment wrapText="1"/>
    </xf>
    <xf numFmtId="178" fontId="69" fillId="2" borderId="24" xfId="0" quotePrefix="1" applyNumberFormat="1" applyFont="1" applyFill="1" applyBorder="1" applyAlignment="1">
      <alignment wrapText="1"/>
    </xf>
    <xf numFmtId="178" fontId="69" fillId="2" borderId="0" xfId="0" quotePrefix="1" applyNumberFormat="1" applyFont="1" applyFill="1" applyAlignment="1">
      <alignment horizontal="right" wrapText="1"/>
    </xf>
    <xf numFmtId="0" fontId="69" fillId="2" borderId="0" xfId="36" quotePrefix="1" applyFont="1" applyFill="1" applyAlignment="1">
      <alignment horizontal="center" wrapText="1"/>
    </xf>
    <xf numFmtId="0" fontId="69" fillId="2" borderId="0" xfId="0" quotePrefix="1" applyFont="1" applyFill="1" applyAlignment="1">
      <alignment horizontal="left"/>
    </xf>
    <xf numFmtId="169" fontId="69" fillId="6" borderId="0" xfId="0" quotePrefix="1" applyNumberFormat="1" applyFont="1" applyFill="1" applyAlignment="1">
      <alignment wrapText="1"/>
    </xf>
    <xf numFmtId="169" fontId="69" fillId="2" borderId="0" xfId="0" applyNumberFormat="1" applyFont="1" applyFill="1" applyAlignment="1">
      <alignment horizontal="right" wrapText="1"/>
    </xf>
    <xf numFmtId="2" fontId="69" fillId="2" borderId="0" xfId="0" applyNumberFormat="1" applyFont="1" applyFill="1" applyAlignment="1">
      <alignment horizontal="right" wrapText="1"/>
    </xf>
    <xf numFmtId="0" fontId="69" fillId="2" borderId="0" xfId="0" quotePrefix="1" applyFont="1" applyFill="1" applyAlignment="1">
      <alignment horizontal="left" wrapText="1"/>
    </xf>
    <xf numFmtId="0" fontId="67" fillId="2" borderId="7" xfId="0" quotePrefix="1" applyFont="1" applyFill="1" applyBorder="1" applyAlignment="1">
      <alignment horizontal="center" vertical="center" wrapText="1"/>
    </xf>
    <xf numFmtId="0" fontId="65" fillId="2" borderId="0" xfId="0" applyFont="1" applyFill="1" applyAlignment="1">
      <alignment horizontal="center" wrapText="1"/>
    </xf>
    <xf numFmtId="169" fontId="65" fillId="6" borderId="0" xfId="36" applyNumberFormat="1" applyFont="1" applyFill="1" applyAlignment="1">
      <alignment horizontal="right" vertical="center"/>
    </xf>
    <xf numFmtId="0" fontId="65" fillId="2" borderId="0" xfId="0" quotePrefix="1" applyFont="1" applyFill="1" applyAlignment="1">
      <alignment horizontal="center" vertical="top" wrapText="1"/>
    </xf>
    <xf numFmtId="49" fontId="65" fillId="2" borderId="0" xfId="36" quotePrefix="1" applyNumberFormat="1" applyFont="1" applyFill="1" applyAlignment="1">
      <alignment horizontal="center" wrapText="1"/>
    </xf>
    <xf numFmtId="0" fontId="65" fillId="2" borderId="0" xfId="0" quotePrefix="1" applyFont="1" applyFill="1" applyAlignment="1">
      <alignment horizontal="center" vertical="center" wrapText="1"/>
    </xf>
    <xf numFmtId="49" fontId="67" fillId="2" borderId="0" xfId="36" quotePrefix="1" applyNumberFormat="1" applyFont="1" applyFill="1" applyAlignment="1">
      <alignment horizontal="center" wrapText="1"/>
    </xf>
    <xf numFmtId="169" fontId="67" fillId="6" borderId="0" xfId="36" applyNumberFormat="1" applyFont="1" applyFill="1" applyAlignment="1">
      <alignment horizontal="right"/>
    </xf>
    <xf numFmtId="169" fontId="67" fillId="2" borderId="0" xfId="36" applyNumberFormat="1" applyFont="1" applyFill="1" applyAlignment="1">
      <alignment horizontal="right"/>
    </xf>
    <xf numFmtId="2" fontId="67" fillId="2" borderId="0" xfId="0" applyNumberFormat="1" applyFont="1" applyFill="1" applyAlignment="1">
      <alignment horizontal="right" wrapText="1"/>
    </xf>
    <xf numFmtId="169" fontId="67" fillId="2" borderId="0" xfId="38" applyNumberFormat="1" applyFont="1" applyFill="1" applyAlignment="1">
      <alignment horizontal="right"/>
    </xf>
    <xf numFmtId="0" fontId="67" fillId="2" borderId="7" xfId="0" applyFont="1" applyFill="1" applyBorder="1" applyAlignment="1">
      <alignment horizontal="center" wrapText="1"/>
    </xf>
    <xf numFmtId="0" fontId="67" fillId="2" borderId="7" xfId="0" quotePrefix="1" applyFont="1" applyFill="1" applyBorder="1" applyAlignment="1">
      <alignment horizontal="left" wrapText="1"/>
    </xf>
    <xf numFmtId="0" fontId="65" fillId="2" borderId="0" xfId="0" applyFont="1" applyFill="1" applyAlignment="1">
      <alignment vertical="top"/>
    </xf>
    <xf numFmtId="0" fontId="65" fillId="2" borderId="0" xfId="0" applyFont="1" applyFill="1" applyAlignment="1">
      <alignment vertical="top" wrapText="1"/>
    </xf>
    <xf numFmtId="0" fontId="67" fillId="0" borderId="29" xfId="36" quotePrefix="1" applyFont="1" applyBorder="1" applyAlignment="1">
      <alignment horizontal="left" vertical="top"/>
    </xf>
    <xf numFmtId="0" fontId="65" fillId="2" borderId="32" xfId="0" quotePrefix="1" applyFont="1" applyFill="1" applyBorder="1" applyAlignment="1">
      <alignment horizontal="center" wrapText="1"/>
    </xf>
    <xf numFmtId="0" fontId="65" fillId="2" borderId="32" xfId="0" quotePrefix="1" applyFont="1" applyFill="1" applyBorder="1" applyAlignment="1">
      <alignment wrapText="1"/>
    </xf>
    <xf numFmtId="178" fontId="65" fillId="2" borderId="32" xfId="0" quotePrefix="1" applyNumberFormat="1" applyFont="1" applyFill="1" applyBorder="1" applyAlignment="1">
      <alignment wrapText="1"/>
    </xf>
    <xf numFmtId="0" fontId="67" fillId="2" borderId="10" xfId="0" quotePrefix="1" applyFont="1" applyFill="1" applyBorder="1" applyAlignment="1">
      <alignment horizontal="center" wrapText="1"/>
    </xf>
    <xf numFmtId="0" fontId="67" fillId="2" borderId="10" xfId="0" quotePrefix="1" applyFont="1" applyFill="1" applyBorder="1" applyAlignment="1">
      <alignment wrapText="1"/>
    </xf>
    <xf numFmtId="178" fontId="67" fillId="2" borderId="10" xfId="0" quotePrefix="1" applyNumberFormat="1" applyFont="1" applyFill="1" applyBorder="1" applyAlignment="1">
      <alignment wrapText="1"/>
    </xf>
    <xf numFmtId="0" fontId="67" fillId="2" borderId="32" xfId="0" quotePrefix="1" applyFont="1" applyFill="1" applyBorder="1" applyAlignment="1">
      <alignment horizontal="center" wrapText="1"/>
    </xf>
    <xf numFmtId="0" fontId="67" fillId="2" borderId="32" xfId="0" quotePrefix="1" applyFont="1" applyFill="1" applyBorder="1" applyAlignment="1">
      <alignment wrapText="1"/>
    </xf>
    <xf numFmtId="178" fontId="67" fillId="2" borderId="32" xfId="0" quotePrefix="1" applyNumberFormat="1" applyFont="1" applyFill="1" applyBorder="1" applyAlignment="1">
      <alignment wrapText="1"/>
    </xf>
    <xf numFmtId="0" fontId="65" fillId="2" borderId="0" xfId="0" applyFont="1" applyFill="1" applyAlignment="1">
      <alignment horizontal="center" vertical="center" wrapText="1"/>
    </xf>
    <xf numFmtId="0" fontId="69" fillId="2" borderId="0" xfId="0" applyFont="1" applyFill="1"/>
    <xf numFmtId="0" fontId="69" fillId="2" borderId="0" xfId="0" applyFont="1" applyFill="1" applyAlignment="1">
      <alignment horizontal="center" vertical="top" wrapText="1"/>
    </xf>
    <xf numFmtId="0" fontId="65" fillId="2" borderId="32" xfId="0" applyFont="1" applyFill="1" applyBorder="1" applyAlignment="1">
      <alignment horizontal="center" vertical="center" wrapText="1"/>
    </xf>
    <xf numFmtId="0" fontId="65" fillId="2" borderId="32" xfId="0" quotePrefix="1" applyFont="1" applyFill="1" applyBorder="1" applyAlignment="1">
      <alignment horizontal="left" wrapText="1"/>
    </xf>
    <xf numFmtId="0" fontId="67" fillId="2" borderId="10" xfId="0" quotePrefix="1" applyFont="1" applyFill="1" applyBorder="1" applyAlignment="1">
      <alignment horizontal="center" vertical="center" wrapText="1"/>
    </xf>
    <xf numFmtId="0" fontId="67" fillId="2" borderId="0" xfId="0" applyFont="1" applyFill="1" applyAlignment="1">
      <alignment horizontal="center" wrapText="1"/>
    </xf>
    <xf numFmtId="0" fontId="67" fillId="2" borderId="0" xfId="0" quotePrefix="1" applyFont="1" applyFill="1" applyAlignment="1">
      <alignment horizontal="left" wrapText="1"/>
    </xf>
    <xf numFmtId="178" fontId="67" fillId="2" borderId="0" xfId="0" quotePrefix="1" applyNumberFormat="1" applyFont="1" applyFill="1" applyAlignment="1">
      <alignment wrapText="1"/>
    </xf>
    <xf numFmtId="0" fontId="65" fillId="2" borderId="32" xfId="0" quotePrefix="1" applyFont="1" applyFill="1" applyBorder="1" applyAlignment="1">
      <alignment horizontal="center" vertical="center" wrapText="1"/>
    </xf>
    <xf numFmtId="0" fontId="67" fillId="2" borderId="10" xfId="0" applyFont="1" applyFill="1" applyBorder="1" applyAlignment="1">
      <alignment horizontal="center" vertical="center" wrapText="1"/>
    </xf>
    <xf numFmtId="0" fontId="67" fillId="2" borderId="10" xfId="0" quotePrefix="1" applyFont="1" applyFill="1" applyBorder="1" applyAlignment="1">
      <alignment horizontal="left" wrapText="1"/>
    </xf>
    <xf numFmtId="0" fontId="64" fillId="0" borderId="0" xfId="0" applyFont="1"/>
    <xf numFmtId="0" fontId="65" fillId="0" borderId="0" xfId="0" applyFont="1" applyProtection="1">
      <protection locked="0"/>
    </xf>
    <xf numFmtId="0" fontId="65" fillId="2" borderId="0" xfId="0" applyFont="1" applyFill="1" applyProtection="1">
      <protection locked="0"/>
    </xf>
    <xf numFmtId="14" fontId="64" fillId="2" borderId="4" xfId="0" quotePrefix="1" applyNumberFormat="1" applyFont="1" applyFill="1" applyBorder="1" applyAlignment="1">
      <alignment horizontal="left" vertical="top" wrapText="1"/>
    </xf>
    <xf numFmtId="0" fontId="64" fillId="2" borderId="4" xfId="0" applyFont="1" applyFill="1" applyBorder="1" applyAlignment="1" applyProtection="1">
      <alignment horizontal="right" vertical="top" wrapText="1"/>
      <protection locked="0"/>
    </xf>
    <xf numFmtId="0" fontId="64" fillId="2" borderId="14" xfId="0" applyFont="1" applyFill="1" applyBorder="1" applyAlignment="1" applyProtection="1">
      <alignment horizontal="right" vertical="top" wrapText="1"/>
      <protection locked="0"/>
    </xf>
    <xf numFmtId="0" fontId="64" fillId="3" borderId="4" xfId="0" applyFont="1" applyFill="1" applyBorder="1" applyAlignment="1" applyProtection="1">
      <alignment horizontal="right" vertical="top" wrapText="1"/>
      <protection locked="0"/>
    </xf>
    <xf numFmtId="0" fontId="65" fillId="2" borderId="0" xfId="0" quotePrefix="1" applyFont="1" applyFill="1" applyAlignment="1">
      <alignment horizontal="right"/>
    </xf>
    <xf numFmtId="49" fontId="65" fillId="2" borderId="0" xfId="0" quotePrefix="1" applyNumberFormat="1" applyFont="1" applyFill="1" applyAlignment="1">
      <alignment wrapText="1"/>
    </xf>
    <xf numFmtId="169" fontId="65" fillId="6" borderId="0" xfId="0" quotePrefix="1" applyNumberFormat="1" applyFont="1" applyFill="1" applyAlignment="1" applyProtection="1">
      <protection locked="0"/>
    </xf>
    <xf numFmtId="169" fontId="65" fillId="2" borderId="0" xfId="0" quotePrefix="1" applyNumberFormat="1" applyFont="1" applyFill="1" applyAlignment="1" applyProtection="1">
      <protection locked="0"/>
    </xf>
    <xf numFmtId="169" fontId="65" fillId="2" borderId="0" xfId="0" quotePrefix="1" applyNumberFormat="1" applyFont="1" applyFill="1" applyProtection="1">
      <protection locked="0"/>
    </xf>
    <xf numFmtId="169" fontId="65" fillId="2" borderId="15" xfId="0" quotePrefix="1" applyNumberFormat="1" applyFont="1" applyFill="1" applyBorder="1" applyProtection="1">
      <protection locked="0"/>
    </xf>
    <xf numFmtId="169" fontId="65" fillId="3" borderId="0" xfId="0" quotePrefix="1" applyNumberFormat="1" applyFont="1" applyFill="1" applyProtection="1">
      <protection locked="0"/>
    </xf>
    <xf numFmtId="169" fontId="65" fillId="0" borderId="0" xfId="0" quotePrefix="1" applyNumberFormat="1" applyFont="1" applyProtection="1">
      <protection locked="0"/>
    </xf>
    <xf numFmtId="49" fontId="65" fillId="2" borderId="0" xfId="0" quotePrefix="1" applyNumberFormat="1" applyFont="1" applyFill="1" applyAlignment="1">
      <alignment horizontal="left" wrapText="1"/>
    </xf>
    <xf numFmtId="49" fontId="65" fillId="2" borderId="0" xfId="0" quotePrefix="1" applyNumberFormat="1" applyFont="1" applyFill="1" applyAlignment="1"/>
    <xf numFmtId="169" fontId="69" fillId="6" borderId="0" xfId="0" quotePrefix="1" applyNumberFormat="1" applyFont="1" applyFill="1" applyAlignment="1" applyProtection="1">
      <protection locked="0"/>
    </xf>
    <xf numFmtId="0" fontId="65" fillId="0" borderId="0" xfId="0" applyFont="1" applyAlignment="1" applyProtection="1">
      <alignment horizontal="left"/>
      <protection locked="0"/>
    </xf>
    <xf numFmtId="0" fontId="67" fillId="2" borderId="5" xfId="0" quotePrefix="1" applyFont="1" applyFill="1" applyBorder="1" applyAlignment="1">
      <alignment horizontal="center"/>
    </xf>
    <xf numFmtId="49" fontId="67" fillId="2" borderId="5" xfId="0" quotePrefix="1" applyNumberFormat="1" applyFont="1" applyFill="1" applyBorder="1" applyAlignment="1">
      <alignment wrapText="1"/>
    </xf>
    <xf numFmtId="169" fontId="67" fillId="6" borderId="29" xfId="0" quotePrefix="1" applyNumberFormat="1" applyFont="1" applyFill="1" applyBorder="1" applyAlignment="1" applyProtection="1">
      <protection locked="0"/>
    </xf>
    <xf numFmtId="169" fontId="67" fillId="2" borderId="5" xfId="0" quotePrefix="1" applyNumberFormat="1" applyFont="1" applyFill="1" applyBorder="1" applyAlignment="1" applyProtection="1">
      <protection locked="0"/>
    </xf>
    <xf numFmtId="169" fontId="67" fillId="2" borderId="5" xfId="0" quotePrefix="1" applyNumberFormat="1" applyFont="1" applyFill="1" applyBorder="1" applyProtection="1">
      <protection locked="0"/>
    </xf>
    <xf numFmtId="169" fontId="67" fillId="2" borderId="16" xfId="0" quotePrefix="1" applyNumberFormat="1" applyFont="1" applyFill="1" applyBorder="1" applyProtection="1">
      <protection locked="0"/>
    </xf>
    <xf numFmtId="169" fontId="67" fillId="3" borderId="5" xfId="0" quotePrefix="1" applyNumberFormat="1" applyFont="1" applyFill="1" applyBorder="1" applyProtection="1">
      <protection locked="0"/>
    </xf>
    <xf numFmtId="169" fontId="67" fillId="0" borderId="5" xfId="0" quotePrefix="1" applyNumberFormat="1" applyFont="1" applyBorder="1" applyProtection="1">
      <protection locked="0"/>
    </xf>
    <xf numFmtId="0" fontId="65" fillId="2" borderId="15" xfId="0" applyFont="1" applyFill="1" applyBorder="1" applyProtection="1">
      <protection locked="0"/>
    </xf>
    <xf numFmtId="0" fontId="65" fillId="2" borderId="0" xfId="0" quotePrefix="1" applyFont="1" applyFill="1" applyAlignment="1">
      <alignment horizontal="center"/>
    </xf>
    <xf numFmtId="169" fontId="65" fillId="2" borderId="0" xfId="0" applyNumberFormat="1" applyFont="1" applyFill="1" applyProtection="1">
      <protection locked="0"/>
    </xf>
    <xf numFmtId="169" fontId="65" fillId="2" borderId="15" xfId="0" applyNumberFormat="1" applyFont="1" applyFill="1" applyBorder="1" applyProtection="1">
      <protection locked="0"/>
    </xf>
    <xf numFmtId="169" fontId="65" fillId="3" borderId="0" xfId="0" applyNumberFormat="1" applyFont="1" applyFill="1" applyProtection="1">
      <protection locked="0"/>
    </xf>
    <xf numFmtId="169" fontId="65" fillId="2" borderId="0" xfId="0" quotePrefix="1" applyNumberFormat="1" applyFont="1" applyFill="1" applyAlignment="1">
      <alignment horizontal="right" vertical="center"/>
    </xf>
    <xf numFmtId="169" fontId="65" fillId="0" borderId="0" xfId="0" applyNumberFormat="1" applyFont="1" applyProtection="1">
      <protection locked="0"/>
    </xf>
    <xf numFmtId="169" fontId="67" fillId="2" borderId="5" xfId="0" applyNumberFormat="1" applyFont="1" applyFill="1" applyBorder="1" applyProtection="1">
      <protection locked="0"/>
    </xf>
    <xf numFmtId="169" fontId="67" fillId="2" borderId="16" xfId="0" applyNumberFormat="1" applyFont="1" applyFill="1" applyBorder="1" applyProtection="1">
      <protection locked="0"/>
    </xf>
    <xf numFmtId="169" fontId="67" fillId="3" borderId="5" xfId="0" applyNumberFormat="1" applyFont="1" applyFill="1" applyBorder="1" applyProtection="1">
      <protection locked="0"/>
    </xf>
    <xf numFmtId="169" fontId="67" fillId="2" borderId="5" xfId="0" quotePrefix="1" applyNumberFormat="1" applyFont="1" applyFill="1" applyBorder="1" applyAlignment="1">
      <alignment horizontal="right" vertical="center"/>
    </xf>
    <xf numFmtId="169" fontId="67" fillId="0" borderId="5" xfId="0" applyNumberFormat="1" applyFont="1" applyBorder="1" applyProtection="1">
      <protection locked="0"/>
    </xf>
    <xf numFmtId="14" fontId="64" fillId="2" borderId="0" xfId="0" quotePrefix="1" applyNumberFormat="1" applyFont="1" applyFill="1" applyAlignment="1">
      <alignment horizontal="left" vertical="top" wrapText="1"/>
    </xf>
    <xf numFmtId="14" fontId="64" fillId="2" borderId="0" xfId="0" quotePrefix="1" applyNumberFormat="1" applyFont="1" applyFill="1" applyAlignment="1">
      <alignment horizontal="left" vertical="top" wrapText="1"/>
    </xf>
    <xf numFmtId="14" fontId="64" fillId="2" borderId="17" xfId="0" quotePrefix="1" applyNumberFormat="1" applyFont="1" applyFill="1" applyBorder="1" applyAlignment="1">
      <alignment horizontal="left" vertical="top" wrapText="1"/>
    </xf>
    <xf numFmtId="0" fontId="65" fillId="0" borderId="0" xfId="0" applyFont="1" applyAlignment="1">
      <alignment vertical="top" wrapText="1"/>
    </xf>
    <xf numFmtId="169" fontId="72" fillId="0" borderId="0" xfId="10" applyNumberFormat="1" applyFont="1" applyAlignment="1" applyProtection="1">
      <alignment horizontal="right" wrapText="1"/>
      <protection locked="0"/>
    </xf>
    <xf numFmtId="0" fontId="66" fillId="0" borderId="0" xfId="0" applyFont="1"/>
    <xf numFmtId="0" fontId="65" fillId="0" borderId="0" xfId="0" applyFont="1"/>
    <xf numFmtId="0" fontId="64" fillId="0" borderId="18" xfId="0" applyFont="1" applyBorder="1" applyAlignment="1" applyProtection="1">
      <alignment horizontal="center"/>
      <protection locked="0"/>
    </xf>
    <xf numFmtId="0" fontId="64" fillId="0" borderId="19" xfId="0" applyFont="1" applyBorder="1" applyAlignment="1" applyProtection="1">
      <alignment horizontal="center"/>
      <protection locked="0"/>
    </xf>
    <xf numFmtId="0" fontId="64" fillId="0" borderId="20" xfId="0" applyFont="1" applyBorder="1" applyAlignment="1" applyProtection="1">
      <alignment horizontal="center"/>
      <protection locked="0"/>
    </xf>
    <xf numFmtId="0" fontId="73" fillId="0" borderId="0" xfId="0" applyFont="1" applyAlignment="1" applyProtection="1">
      <alignment vertical="center"/>
      <protection locked="0"/>
    </xf>
    <xf numFmtId="0" fontId="64" fillId="0" borderId="4" xfId="10" applyFont="1" applyBorder="1" applyAlignment="1" applyProtection="1">
      <alignment horizontal="justify" vertical="top" wrapText="1"/>
      <protection locked="0"/>
    </xf>
    <xf numFmtId="168" fontId="74" fillId="4" borderId="29" xfId="32" quotePrefix="1" applyNumberFormat="1" applyFont="1" applyFill="1" applyBorder="1" applyAlignment="1">
      <alignment horizontal="right" vertical="top" wrapText="1"/>
    </xf>
    <xf numFmtId="49" fontId="64" fillId="0" borderId="4" xfId="36" applyNumberFormat="1" applyFont="1" applyBorder="1" applyAlignment="1" applyProtection="1">
      <alignment horizontal="right" vertical="top" wrapText="1"/>
      <protection locked="0"/>
    </xf>
    <xf numFmtId="49" fontId="64" fillId="3" borderId="4" xfId="36" applyNumberFormat="1" applyFont="1" applyFill="1" applyBorder="1" applyAlignment="1" applyProtection="1">
      <alignment horizontal="right" vertical="top" wrapText="1"/>
      <protection locked="0"/>
    </xf>
    <xf numFmtId="49" fontId="64" fillId="3" borderId="21" xfId="36" applyNumberFormat="1" applyFont="1" applyFill="1" applyBorder="1" applyAlignment="1" applyProtection="1">
      <alignment horizontal="right" vertical="top" wrapText="1"/>
      <protection locked="0"/>
    </xf>
    <xf numFmtId="49" fontId="64" fillId="3" borderId="22" xfId="36" applyNumberFormat="1" applyFont="1" applyFill="1" applyBorder="1" applyAlignment="1" applyProtection="1">
      <alignment horizontal="right" vertical="top" wrapText="1"/>
      <protection locked="0"/>
    </xf>
    <xf numFmtId="49" fontId="64" fillId="3" borderId="4" xfId="3" applyNumberFormat="1" applyFont="1" applyFill="1" applyBorder="1" applyAlignment="1" applyProtection="1">
      <alignment horizontal="right" vertical="top" wrapText="1"/>
      <protection locked="0"/>
    </xf>
    <xf numFmtId="49" fontId="64" fillId="0" borderId="4" xfId="3" applyNumberFormat="1" applyFont="1" applyBorder="1" applyAlignment="1" applyProtection="1">
      <alignment horizontal="right" vertical="top" wrapText="1"/>
      <protection locked="0"/>
    </xf>
    <xf numFmtId="49" fontId="64" fillId="3" borderId="4" xfId="10" applyNumberFormat="1" applyFont="1" applyFill="1" applyBorder="1" applyAlignment="1" applyProtection="1">
      <alignment horizontal="right" vertical="top" wrapText="1"/>
      <protection locked="0"/>
    </xf>
    <xf numFmtId="0" fontId="65" fillId="3" borderId="0" xfId="0" applyFont="1" applyFill="1" applyProtection="1">
      <protection locked="0"/>
    </xf>
    <xf numFmtId="0" fontId="65" fillId="3" borderId="23" xfId="0" applyFont="1" applyFill="1" applyBorder="1" applyProtection="1">
      <protection locked="0"/>
    </xf>
    <xf numFmtId="0" fontId="65" fillId="3" borderId="24" xfId="0" applyFont="1" applyFill="1" applyBorder="1" applyProtection="1">
      <protection locked="0"/>
    </xf>
    <xf numFmtId="49" fontId="75" fillId="2" borderId="0" xfId="7" applyNumberFormat="1" applyFont="1" applyFill="1" applyAlignment="1" applyProtection="1">
      <alignment horizontal="right"/>
      <protection locked="0"/>
    </xf>
    <xf numFmtId="49" fontId="75" fillId="2" borderId="0" xfId="7" applyNumberFormat="1" applyFont="1" applyFill="1" applyAlignment="1" applyProtection="1">
      <alignment horizontal="left"/>
      <protection locked="0"/>
    </xf>
    <xf numFmtId="169" fontId="65" fillId="6" borderId="0" xfId="0" quotePrefix="1" applyNumberFormat="1" applyFont="1" applyFill="1" applyProtection="1">
      <protection locked="0"/>
    </xf>
    <xf numFmtId="169" fontId="65" fillId="3" borderId="23" xfId="0" applyNumberFormat="1" applyFont="1" applyFill="1" applyBorder="1" applyProtection="1">
      <protection locked="0"/>
    </xf>
    <xf numFmtId="169" fontId="65" fillId="3" borderId="24" xfId="0" applyNumberFormat="1" applyFont="1" applyFill="1" applyBorder="1" applyProtection="1">
      <protection locked="0"/>
    </xf>
    <xf numFmtId="49" fontId="76" fillId="2" borderId="0" xfId="7" applyNumberFormat="1" applyFont="1" applyFill="1" applyAlignment="1" applyProtection="1">
      <alignment horizontal="right"/>
      <protection locked="0"/>
    </xf>
    <xf numFmtId="49" fontId="76" fillId="2" borderId="0" xfId="7" applyNumberFormat="1" applyFont="1" applyFill="1" applyAlignment="1" applyProtection="1">
      <alignment horizontal="left"/>
      <protection locked="0"/>
    </xf>
    <xf numFmtId="169" fontId="67" fillId="6" borderId="0" xfId="0" quotePrefix="1" applyNumberFormat="1" applyFont="1" applyFill="1"/>
    <xf numFmtId="169" fontId="67" fillId="0" borderId="0" xfId="0" applyNumberFormat="1" applyFont="1" applyProtection="1">
      <protection locked="0"/>
    </xf>
    <xf numFmtId="169" fontId="67" fillId="3" borderId="0" xfId="0" applyNumberFormat="1" applyFont="1" applyFill="1" applyProtection="1">
      <protection locked="0"/>
    </xf>
    <xf numFmtId="169" fontId="67" fillId="3" borderId="23" xfId="0" applyNumberFormat="1" applyFont="1" applyFill="1" applyBorder="1" applyProtection="1">
      <protection locked="0"/>
    </xf>
    <xf numFmtId="169" fontId="67" fillId="3" borderId="24" xfId="0" applyNumberFormat="1" applyFont="1" applyFill="1" applyBorder="1" applyProtection="1">
      <protection locked="0"/>
    </xf>
    <xf numFmtId="49" fontId="75" fillId="0" borderId="0" xfId="7" applyNumberFormat="1" applyFont="1" applyAlignment="1" applyProtection="1">
      <alignment horizontal="left"/>
      <protection locked="0"/>
    </xf>
    <xf numFmtId="49" fontId="75" fillId="2" borderId="0" xfId="7" applyNumberFormat="1" applyFont="1" applyFill="1" applyAlignment="1" applyProtection="1">
      <alignment horizontal="justify" wrapText="1"/>
      <protection locked="0"/>
    </xf>
    <xf numFmtId="169" fontId="65" fillId="6" borderId="0" xfId="0" quotePrefix="1" applyNumberFormat="1" applyFont="1" applyFill="1"/>
    <xf numFmtId="49" fontId="71" fillId="2" borderId="0" xfId="7" applyNumberFormat="1" applyFont="1" applyFill="1" applyAlignment="1" applyProtection="1">
      <alignment horizontal="left"/>
      <protection locked="0"/>
    </xf>
    <xf numFmtId="49" fontId="75" fillId="2" borderId="0" xfId="7" applyNumberFormat="1" applyFont="1" applyFill="1" applyAlignment="1" applyProtection="1">
      <alignment horizontal="right" vertical="top"/>
      <protection locked="0"/>
    </xf>
    <xf numFmtId="49" fontId="75" fillId="2" borderId="0" xfId="10" applyNumberFormat="1" applyFont="1" applyFill="1" applyAlignment="1" applyProtection="1">
      <alignment horizontal="right"/>
      <protection locked="0"/>
    </xf>
    <xf numFmtId="49" fontId="75" fillId="2" borderId="0" xfId="10" applyNumberFormat="1" applyFont="1" applyFill="1" applyAlignment="1" applyProtection="1">
      <alignment horizontal="left"/>
      <protection locked="0"/>
    </xf>
    <xf numFmtId="49" fontId="75" fillId="2" borderId="0" xfId="7" applyNumberFormat="1" applyFont="1" applyFill="1" applyAlignment="1" applyProtection="1">
      <alignment horizontal="left" wrapText="1"/>
      <protection locked="0"/>
    </xf>
    <xf numFmtId="49" fontId="75" fillId="2" borderId="0" xfId="7" applyNumberFormat="1" applyFont="1" applyFill="1" applyAlignment="1" applyProtection="1">
      <alignment horizontal="center"/>
      <protection locked="0"/>
    </xf>
    <xf numFmtId="49" fontId="76" fillId="2" borderId="5" xfId="7" applyNumberFormat="1" applyFont="1" applyFill="1" applyBorder="1" applyAlignment="1" applyProtection="1">
      <alignment horizontal="right"/>
      <protection locked="0"/>
    </xf>
    <xf numFmtId="49" fontId="76" fillId="2" borderId="5" xfId="7" applyNumberFormat="1" applyFont="1" applyFill="1" applyBorder="1" applyAlignment="1" applyProtection="1">
      <alignment horizontal="left"/>
      <protection locked="0"/>
    </xf>
    <xf numFmtId="169" fontId="67" fillId="6" borderId="5" xfId="0" quotePrefix="1" applyNumberFormat="1" applyFont="1" applyFill="1" applyBorder="1" applyAlignment="1" applyProtection="1">
      <alignment wrapText="1"/>
      <protection locked="0"/>
    </xf>
    <xf numFmtId="169" fontId="67" fillId="3" borderId="28" xfId="0" applyNumberFormat="1" applyFont="1" applyFill="1" applyBorder="1" applyProtection="1">
      <protection locked="0"/>
    </xf>
    <xf numFmtId="169" fontId="67" fillId="3" borderId="29" xfId="0" applyNumberFormat="1" applyFont="1" applyFill="1" applyBorder="1" applyProtection="1">
      <protection locked="0"/>
    </xf>
    <xf numFmtId="169" fontId="67" fillId="3" borderId="30" xfId="0" applyNumberFormat="1" applyFont="1" applyFill="1" applyBorder="1" applyProtection="1">
      <protection locked="0"/>
    </xf>
    <xf numFmtId="0" fontId="65" fillId="0" borderId="25" xfId="0" applyFont="1" applyBorder="1"/>
    <xf numFmtId="0" fontId="65" fillId="0" borderId="26" xfId="0" applyFont="1" applyBorder="1"/>
    <xf numFmtId="0" fontId="65" fillId="0" borderId="27" xfId="0" applyFont="1" applyBorder="1"/>
    <xf numFmtId="0" fontId="65" fillId="0" borderId="0" xfId="0" applyFont="1" applyAlignment="1">
      <alignment horizontal="left" vertical="top" wrapText="1"/>
    </xf>
    <xf numFmtId="10" fontId="65" fillId="0" borderId="0" xfId="8" applyNumberFormat="1" applyFont="1"/>
    <xf numFmtId="0" fontId="77" fillId="0" borderId="1" xfId="32" applyFont="1" applyBorder="1" applyProtection="1">
      <protection locked="0"/>
    </xf>
    <xf numFmtId="0" fontId="78" fillId="0" borderId="0" xfId="0" applyFont="1" applyProtection="1">
      <protection locked="0"/>
    </xf>
    <xf numFmtId="0" fontId="79" fillId="0" borderId="0" xfId="0" applyFont="1" applyProtection="1">
      <protection locked="0"/>
    </xf>
    <xf numFmtId="14" fontId="80" fillId="0" borderId="0" xfId="0" applyNumberFormat="1" applyFont="1" applyProtection="1">
      <protection locked="0"/>
    </xf>
    <xf numFmtId="0" fontId="80" fillId="0" borderId="0" xfId="0" applyFont="1" applyProtection="1">
      <protection locked="0"/>
    </xf>
    <xf numFmtId="0" fontId="79" fillId="0" borderId="0" xfId="0" applyFont="1"/>
    <xf numFmtId="0" fontId="81" fillId="0" borderId="0" xfId="32" applyFont="1" applyAlignment="1" applyProtection="1">
      <alignment horizontal="center" wrapText="1"/>
      <protection locked="0"/>
    </xf>
    <xf numFmtId="0" fontId="81" fillId="2" borderId="0" xfId="32" applyFont="1" applyFill="1" applyAlignment="1">
      <alignment horizontal="center" vertical="center" wrapText="1"/>
    </xf>
    <xf numFmtId="0" fontId="82" fillId="0" borderId="11" xfId="0" applyFont="1" applyBorder="1" applyProtection="1">
      <protection locked="0"/>
    </xf>
    <xf numFmtId="166" fontId="79" fillId="0" borderId="0" xfId="5" applyNumberFormat="1" applyFont="1"/>
    <xf numFmtId="0" fontId="79" fillId="0" borderId="0" xfId="4" applyFont="1"/>
    <xf numFmtId="0" fontId="81" fillId="0" borderId="10" xfId="32" applyFont="1" applyBorder="1" applyAlignment="1" applyProtection="1">
      <alignment horizontal="center" wrapText="1"/>
      <protection locked="0"/>
    </xf>
    <xf numFmtId="0" fontId="81" fillId="2" borderId="10" xfId="32" applyFont="1" applyFill="1" applyBorder="1" applyAlignment="1">
      <alignment horizontal="center" vertical="center" wrapText="1"/>
    </xf>
    <xf numFmtId="14" fontId="77" fillId="2" borderId="4" xfId="4" applyNumberFormat="1" applyFont="1" applyFill="1" applyBorder="1" applyAlignment="1" applyProtection="1">
      <alignment horizontal="center" vertical="center" wrapText="1"/>
      <protection locked="0"/>
    </xf>
    <xf numFmtId="14" fontId="83" fillId="4" borderId="4" xfId="4" applyNumberFormat="1" applyFont="1" applyFill="1" applyBorder="1" applyAlignment="1" applyProtection="1">
      <alignment horizontal="center" vertical="center" wrapText="1"/>
      <protection locked="0"/>
    </xf>
    <xf numFmtId="0" fontId="79" fillId="0" borderId="0" xfId="4" applyFont="1" applyAlignment="1">
      <alignment horizontal="center" vertical="center"/>
    </xf>
    <xf numFmtId="176" fontId="81" fillId="3" borderId="12" xfId="5" applyNumberFormat="1" applyFont="1" applyFill="1" applyBorder="1" applyAlignment="1">
      <alignment horizontal="center" vertical="center" wrapText="1"/>
    </xf>
    <xf numFmtId="176" fontId="81" fillId="2" borderId="12" xfId="5" applyNumberFormat="1" applyFont="1" applyFill="1" applyBorder="1" applyAlignment="1">
      <alignment horizontal="center" vertical="center" wrapText="1"/>
    </xf>
    <xf numFmtId="176" fontId="81" fillId="2" borderId="31" xfId="5" applyNumberFormat="1" applyFont="1" applyFill="1" applyBorder="1" applyAlignment="1">
      <alignment horizontal="center" vertical="center" wrapText="1"/>
    </xf>
    <xf numFmtId="0" fontId="81" fillId="0" borderId="0" xfId="4" applyFont="1"/>
    <xf numFmtId="166" fontId="79" fillId="3" borderId="0" xfId="5" applyNumberFormat="1" applyFont="1" applyFill="1"/>
    <xf numFmtId="166" fontId="79" fillId="0" borderId="0" xfId="5" applyNumberFormat="1" applyFont="1" applyFill="1"/>
    <xf numFmtId="3" fontId="79" fillId="0" borderId="0" xfId="4" applyNumberFormat="1" applyFont="1"/>
    <xf numFmtId="0" fontId="81" fillId="0" borderId="9" xfId="4" applyFont="1" applyBorder="1"/>
    <xf numFmtId="166" fontId="81" fillId="0" borderId="9" xfId="5" applyNumberFormat="1" applyFont="1" applyBorder="1"/>
    <xf numFmtId="10" fontId="81" fillId="3" borderId="9" xfId="6" applyNumberFormat="1" applyFont="1" applyFill="1" applyBorder="1"/>
    <xf numFmtId="10" fontId="81" fillId="0" borderId="9" xfId="6" applyNumberFormat="1" applyFont="1" applyFill="1" applyBorder="1"/>
    <xf numFmtId="0" fontId="81" fillId="0" borderId="4" xfId="4" applyFont="1" applyBorder="1"/>
    <xf numFmtId="166" fontId="81" fillId="0" borderId="4" xfId="5" applyNumberFormat="1" applyFont="1" applyBorder="1"/>
    <xf numFmtId="10" fontId="81" fillId="3" borderId="4" xfId="6" applyNumberFormat="1" applyFont="1" applyFill="1" applyBorder="1"/>
    <xf numFmtId="10" fontId="81" fillId="0" borderId="4" xfId="6" applyNumberFormat="1" applyFont="1" applyFill="1" applyBorder="1"/>
    <xf numFmtId="0" fontId="84" fillId="0" borderId="0" xfId="4" applyFont="1"/>
    <xf numFmtId="166" fontId="85" fillId="3" borderId="0" xfId="5" applyNumberFormat="1" applyFont="1" applyFill="1"/>
    <xf numFmtId="0" fontId="81" fillId="0" borderId="0" xfId="4" applyFont="1" applyAlignment="1">
      <alignment horizontal="left" wrapText="1"/>
    </xf>
    <xf numFmtId="166" fontId="81" fillId="0" borderId="0" xfId="5" applyNumberFormat="1" applyFont="1"/>
    <xf numFmtId="166" fontId="81" fillId="3" borderId="0" xfId="5" applyNumberFormat="1" applyFont="1" applyFill="1"/>
    <xf numFmtId="166" fontId="81" fillId="0" borderId="0" xfId="5" applyNumberFormat="1" applyFont="1" applyFill="1"/>
    <xf numFmtId="0" fontId="79" fillId="0" borderId="0" xfId="4" quotePrefix="1" applyFont="1" applyAlignment="1">
      <alignment horizontal="left"/>
    </xf>
    <xf numFmtId="0" fontId="81" fillId="0" borderId="0" xfId="4" applyFont="1" applyAlignment="1">
      <alignment horizontal="left"/>
    </xf>
    <xf numFmtId="170" fontId="79" fillId="3" borderId="0" xfId="5" applyNumberFormat="1" applyFont="1" applyFill="1"/>
    <xf numFmtId="170" fontId="79" fillId="0" borderId="0" xfId="5" applyNumberFormat="1" applyFont="1" applyFill="1"/>
    <xf numFmtId="177" fontId="79" fillId="0" borderId="0" xfId="5" applyNumberFormat="1" applyFont="1" applyFill="1"/>
    <xf numFmtId="0" fontId="79" fillId="0" borderId="10" xfId="4" quotePrefix="1" applyFont="1" applyBorder="1" applyAlignment="1">
      <alignment horizontal="right"/>
    </xf>
    <xf numFmtId="166" fontId="79" fillId="0" borderId="10" xfId="5" applyNumberFormat="1" applyFont="1" applyBorder="1"/>
    <xf numFmtId="10" fontId="79" fillId="3" borderId="10" xfId="6" applyNumberFormat="1" applyFont="1" applyFill="1" applyBorder="1"/>
    <xf numFmtId="10" fontId="79" fillId="0" borderId="10" xfId="6" applyNumberFormat="1" applyFont="1" applyFill="1" applyBorder="1"/>
    <xf numFmtId="10" fontId="79" fillId="0" borderId="10" xfId="8" applyNumberFormat="1" applyFont="1" applyFill="1" applyBorder="1"/>
    <xf numFmtId="10" fontId="79" fillId="0" borderId="10" xfId="33" applyNumberFormat="1" applyFont="1" applyFill="1" applyBorder="1"/>
    <xf numFmtId="10" fontId="81" fillId="3" borderId="10" xfId="6" applyNumberFormat="1" applyFont="1" applyFill="1" applyBorder="1"/>
    <xf numFmtId="166" fontId="79" fillId="0" borderId="10" xfId="5" quotePrefix="1" applyNumberFormat="1" applyFont="1" applyBorder="1"/>
    <xf numFmtId="0" fontId="81" fillId="0" borderId="10" xfId="4" quotePrefix="1" applyFont="1" applyBorder="1" applyAlignment="1">
      <alignment horizontal="right"/>
    </xf>
    <xf numFmtId="166" fontId="81" fillId="0" borderId="10" xfId="5" applyNumberFormat="1" applyFont="1" applyBorder="1"/>
    <xf numFmtId="10" fontId="81" fillId="0" borderId="10" xfId="8" applyNumberFormat="1" applyFont="1" applyFill="1" applyBorder="1"/>
    <xf numFmtId="10" fontId="81" fillId="0" borderId="10" xfId="33" applyNumberFormat="1" applyFont="1" applyFill="1" applyBorder="1"/>
    <xf numFmtId="0" fontId="81" fillId="2" borderId="0" xfId="4" applyFont="1" applyFill="1"/>
    <xf numFmtId="166" fontId="79" fillId="2" borderId="0" xfId="5" applyNumberFormat="1" applyFont="1" applyFill="1"/>
    <xf numFmtId="10" fontId="79" fillId="2" borderId="0" xfId="8" applyNumberFormat="1" applyFont="1" applyFill="1"/>
    <xf numFmtId="172" fontId="79" fillId="2" borderId="0" xfId="8" applyNumberFormat="1" applyFont="1" applyFill="1"/>
    <xf numFmtId="0" fontId="81" fillId="0" borderId="0" xfId="4" applyFont="1" applyAlignment="1">
      <alignment wrapText="1"/>
    </xf>
    <xf numFmtId="166" fontId="79" fillId="0" borderId="0" xfId="5" applyNumberFormat="1" applyFont="1" applyFill="1" applyAlignment="1">
      <alignment wrapText="1"/>
    </xf>
    <xf numFmtId="172" fontId="79" fillId="0" borderId="0" xfId="8" applyNumberFormat="1" applyFont="1" applyFill="1" applyAlignment="1">
      <alignment wrapText="1"/>
    </xf>
    <xf numFmtId="0" fontId="79" fillId="0" borderId="0" xfId="4" applyFont="1" applyAlignment="1">
      <alignment wrapText="1"/>
    </xf>
    <xf numFmtId="10" fontId="79" fillId="0" borderId="0" xfId="8" applyNumberFormat="1" applyFont="1" applyFill="1" applyAlignment="1">
      <alignment wrapText="1"/>
    </xf>
    <xf numFmtId="10" fontId="79" fillId="0" borderId="0" xfId="8" applyNumberFormat="1" applyFont="1" applyFill="1"/>
  </cellXfs>
  <cellStyles count="39">
    <cellStyle name="Comma [0]_82 def v2" xfId="11" xr:uid="{00000000-0005-0000-0000-000000000000}"/>
    <cellStyle name="Euro" xfId="12" xr:uid="{00000000-0005-0000-0000-000001000000}"/>
    <cellStyle name="Euro 2" xfId="13" xr:uid="{00000000-0005-0000-0000-000002000000}"/>
    <cellStyle name="Euro 3" xfId="14" xr:uid="{00000000-0005-0000-0000-000003000000}"/>
    <cellStyle name="Migliaia" xfId="1" builtinId="3"/>
    <cellStyle name="Migliaia (0)_040" xfId="15" xr:uid="{00000000-0005-0000-0000-000005000000}"/>
    <cellStyle name="Migliaia [0]" xfId="2" builtinId="6"/>
    <cellStyle name="Migliaia [0] 2" xfId="9" xr:uid="{00000000-0005-0000-0000-000007000000}"/>
    <cellStyle name="Migliaia [0] 2 2" xfId="16" xr:uid="{00000000-0005-0000-0000-000008000000}"/>
    <cellStyle name="Migliaia [0] 3" xfId="17" xr:uid="{00000000-0005-0000-0000-000009000000}"/>
    <cellStyle name="Migliaia [0] 3 2" xfId="18" xr:uid="{00000000-0005-0000-0000-00000A000000}"/>
    <cellStyle name="Migliaia [0] 3 3" xfId="19" xr:uid="{00000000-0005-0000-0000-00000B000000}"/>
    <cellStyle name="Migliaia [0] 4" xfId="20" xr:uid="{00000000-0005-0000-0000-00000C000000}"/>
    <cellStyle name="Migliaia [0] 5" xfId="21" xr:uid="{00000000-0005-0000-0000-00000D000000}"/>
    <cellStyle name="Migliaia [0] 5 2" xfId="22" xr:uid="{00000000-0005-0000-0000-00000E000000}"/>
    <cellStyle name="Migliaia 2" xfId="5" xr:uid="{00000000-0005-0000-0000-00000F000000}"/>
    <cellStyle name="Migliaia 2 2" xfId="23" xr:uid="{00000000-0005-0000-0000-000010000000}"/>
    <cellStyle name="Migliaia 2 3" xfId="24" xr:uid="{00000000-0005-0000-0000-000011000000}"/>
    <cellStyle name="Migliaia 3" xfId="25" xr:uid="{00000000-0005-0000-0000-000012000000}"/>
    <cellStyle name="Milliers [0]_Open&amp;Close" xfId="26" xr:uid="{00000000-0005-0000-0000-000013000000}"/>
    <cellStyle name="Milliers_Open&amp;Close" xfId="27" xr:uid="{00000000-0005-0000-0000-000014000000}"/>
    <cellStyle name="Monétaire [0]_Open&amp;Close" xfId="28" xr:uid="{00000000-0005-0000-0000-000015000000}"/>
    <cellStyle name="Monétaire_Open&amp;Close" xfId="29" xr:uid="{00000000-0005-0000-0000-000016000000}"/>
    <cellStyle name="Non_definito" xfId="30" xr:uid="{00000000-0005-0000-0000-000017000000}"/>
    <cellStyle name="Normal_aaSwpi" xfId="31" xr:uid="{00000000-0005-0000-0000-000018000000}"/>
    <cellStyle name="Normale" xfId="0" builtinId="0"/>
    <cellStyle name="Normale 2" xfId="4" xr:uid="{00000000-0005-0000-0000-00001A000000}"/>
    <cellStyle name="Normale 2 2" xfId="32" xr:uid="{00000000-0005-0000-0000-00001B000000}"/>
    <cellStyle name="Normale 3" xfId="7" xr:uid="{00000000-0005-0000-0000-00001C000000}"/>
    <cellStyle name="Normale 3 2" xfId="10" xr:uid="{00000000-0005-0000-0000-00001D000000}"/>
    <cellStyle name="Normale 4" xfId="3" xr:uid="{00000000-0005-0000-0000-00001E000000}"/>
    <cellStyle name="Normale 4 2" xfId="36" xr:uid="{00000000-0005-0000-0000-00001F000000}"/>
    <cellStyle name="Normale 4 2 2" xfId="38" xr:uid="{9F5E0DC4-FCC1-4767-98CE-E3D5250687D4}"/>
    <cellStyle name="Normale 5" xfId="37" xr:uid="{21172B10-5034-4667-989E-04BEEF99C3BC}"/>
    <cellStyle name="Percentuale" xfId="8" builtinId="5"/>
    <cellStyle name="Percentuale 2" xfId="6" xr:uid="{00000000-0005-0000-0000-000021000000}"/>
    <cellStyle name="Percentuale 2 2" xfId="33" xr:uid="{00000000-0005-0000-0000-000022000000}"/>
    <cellStyle name="Percentuale 3" xfId="34" xr:uid="{00000000-0005-0000-0000-000023000000}"/>
    <cellStyle name="Valuta (0)_~0016507" xfId="35" xr:uid="{00000000-0005-0000-0000-000024000000}"/>
  </cellStyles>
  <dxfs count="2">
    <dxf>
      <fill>
        <patternFill>
          <bgColor indexed="11"/>
        </patternFill>
      </fill>
    </dxf>
    <dxf>
      <fill>
        <patternFill>
          <bgColor indexed="11"/>
        </patternFill>
      </fill>
    </dxf>
  </dxfs>
  <tableStyles count="0" defaultTableStyle="TableStyleMedium9" defaultPivotStyle="PivotStyleLight16"/>
  <colors>
    <mruColors>
      <color rgb="FFAFDBD8"/>
      <color rgb="FFCAF0DE"/>
      <color rgb="FF0051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1239956</xdr:colOff>
      <xdr:row>5</xdr:row>
      <xdr:rowOff>38100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39956" cy="847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0</xdr:col>
      <xdr:colOff>1245870</xdr:colOff>
      <xdr:row>3</xdr:row>
      <xdr:rowOff>154305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39BE133F-93D0-4981-A5AA-74DFC922489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1245870" cy="6019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187537</xdr:colOff>
      <xdr:row>3</xdr:row>
      <xdr:rowOff>125730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E0FAAB40-1075-4FAC-A36F-BE97B029953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45870" cy="6019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240453</xdr:colOff>
      <xdr:row>3</xdr:row>
      <xdr:rowOff>125730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F62DF2A3-A250-4B35-A89B-0A2F6F46127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45870" cy="6019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979170</xdr:colOff>
      <xdr:row>3</xdr:row>
      <xdr:rowOff>116205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1D930615-A1C6-4149-9F75-F1FE1C3CF62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45870" cy="6019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970703</xdr:colOff>
      <xdr:row>3</xdr:row>
      <xdr:rowOff>125730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BBA91732-B6F7-4033-AA82-C215A0B19B9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45870" cy="6019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771478</xdr:colOff>
      <xdr:row>5</xdr:row>
      <xdr:rowOff>15874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84228" cy="80962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221296</xdr:colOff>
      <xdr:row>5</xdr:row>
      <xdr:rowOff>3174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84228" cy="8096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BILANCI/CONSOLID/2017/03%20Marzo/Nota%20Integrativa/consolidato%20NotIas%2012_16.xlsm" TargetMode="External"/><Relationship Id="rId1" Type="http://schemas.openxmlformats.org/officeDocument/2006/relationships/externalLinkPath" Target="/BILANCI/CONSOLID/2017/03%20Marzo/Nota%20Integrativa/consolidato%20NotIas%2012_1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ruscotto"/>
      <sheetName val="individuali"/>
      <sheetName val="SCHEMI"/>
      <sheetName val="NI sez A,B,C"/>
      <sheetName val="Pivot"/>
      <sheetName val="DB"/>
      <sheetName val="NI sez D,E,F"/>
      <sheetName val="Foglio1"/>
      <sheetName val="Dettagli III"/>
      <sheetName val="Ricerca"/>
      <sheetName val="Dettagli"/>
      <sheetName val="Dettagli II"/>
      <sheetName val="Altre informazioni"/>
      <sheetName val="Ctrl saldiniz"/>
      <sheetName val="Riep CTRL"/>
      <sheetName val="Aggregazioni aziendali"/>
      <sheetName val="Ctrl quadrature"/>
      <sheetName val="Pivot skemi"/>
      <sheetName val="DB T-1"/>
      <sheetName val="Pivot DB T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B3" t="str">
            <v>Somma di Importo_euro</v>
          </cell>
          <cell r="BE3" t="str">
            <v>Somma di Importo bilancio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A9"/>
  <sheetViews>
    <sheetView tabSelected="1" workbookViewId="0">
      <selection activeCell="A27" sqref="A27:A28"/>
    </sheetView>
  </sheetViews>
  <sheetFormatPr defaultRowHeight="12.75"/>
  <cols>
    <col min="1" max="1" width="80.7109375" customWidth="1"/>
  </cols>
  <sheetData>
    <row r="7" spans="1:1" ht="19.5">
      <c r="A7" s="205" t="s">
        <v>481</v>
      </c>
    </row>
    <row r="9" spans="1:1" ht="213.75">
      <c r="A9" s="206" t="s">
        <v>482</v>
      </c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CI71"/>
  <sheetViews>
    <sheetView showGridLines="0" zoomScale="80" zoomScaleNormal="80" workbookViewId="0">
      <pane xSplit="2" ySplit="4" topLeftCell="BZ46" activePane="bottomRight" state="frozen"/>
      <selection pane="topRight" activeCell="C1" sqref="C1"/>
      <selection pane="bottomLeft" activeCell="A4" sqref="A4"/>
      <selection pane="bottomRight" activeCell="CG6" sqref="CG6"/>
    </sheetView>
  </sheetViews>
  <sheetFormatPr defaultColWidth="22.140625" defaultRowHeight="16.5" outlineLevelCol="1"/>
  <cols>
    <col min="1" max="1" width="35.42578125" style="512" customWidth="1"/>
    <col min="2" max="2" width="43.5703125" style="514" customWidth="1"/>
    <col min="3" max="51" width="22.140625" style="514" hidden="1" customWidth="1" outlineLevel="1"/>
    <col min="52" max="52" width="9.7109375" style="503" hidden="1" customWidth="1" outlineLevel="1"/>
    <col min="53" max="63" width="0" style="503" hidden="1" customWidth="1" outlineLevel="1"/>
    <col min="64" max="66" width="24.42578125" style="503" hidden="1" customWidth="1" outlineLevel="1"/>
    <col min="67" max="73" width="0" style="503" hidden="1" customWidth="1" outlineLevel="1"/>
    <col min="74" max="74" width="22.140625" style="503" collapsed="1"/>
    <col min="75" max="16384" width="22.140625" style="503"/>
  </cols>
  <sheetData>
    <row r="1" spans="1:87" s="495" customFormat="1" ht="36.75" customHeight="1">
      <c r="A1" s="493" t="s">
        <v>463</v>
      </c>
      <c r="B1" s="494"/>
      <c r="C1" s="494"/>
      <c r="D1" s="494"/>
      <c r="E1" s="494"/>
      <c r="F1" s="494"/>
      <c r="G1" s="494"/>
      <c r="H1" s="494"/>
      <c r="I1" s="494"/>
      <c r="J1" s="494"/>
      <c r="K1" s="494"/>
      <c r="L1" s="494"/>
      <c r="M1" s="494"/>
      <c r="N1" s="494"/>
      <c r="O1" s="494"/>
      <c r="P1" s="494"/>
      <c r="Q1" s="494"/>
      <c r="R1" s="494"/>
      <c r="S1" s="494"/>
      <c r="T1" s="494"/>
      <c r="U1" s="494"/>
      <c r="V1" s="494"/>
      <c r="W1" s="494"/>
      <c r="X1" s="494"/>
      <c r="Y1" s="494"/>
      <c r="Z1" s="494"/>
      <c r="AA1" s="494"/>
      <c r="AB1" s="494"/>
      <c r="AC1" s="494"/>
      <c r="AE1" s="496"/>
      <c r="AF1" s="497"/>
      <c r="AI1" s="498"/>
      <c r="BL1" s="499" t="s">
        <v>495</v>
      </c>
      <c r="BM1" s="499"/>
      <c r="BN1" s="499"/>
      <c r="BR1" s="500"/>
      <c r="BS1" s="500"/>
      <c r="BT1" s="500"/>
      <c r="BU1" s="500"/>
    </row>
    <row r="2" spans="1:87" s="495" customFormat="1" ht="40.5" customHeight="1">
      <c r="A2" s="494"/>
      <c r="B2" s="494"/>
      <c r="C2" s="494"/>
      <c r="D2" s="494"/>
      <c r="E2" s="494"/>
      <c r="F2" s="494"/>
      <c r="G2" s="494"/>
      <c r="H2" s="494"/>
      <c r="I2" s="494"/>
      <c r="J2" s="494"/>
      <c r="K2" s="494"/>
      <c r="L2" s="494"/>
      <c r="M2" s="494"/>
      <c r="N2" s="494"/>
      <c r="O2" s="494"/>
      <c r="P2" s="494"/>
      <c r="Q2" s="494"/>
      <c r="R2" s="494"/>
      <c r="S2" s="494"/>
      <c r="T2" s="494"/>
      <c r="U2" s="494"/>
      <c r="V2" s="494"/>
      <c r="W2" s="494"/>
      <c r="X2" s="494"/>
      <c r="Y2" s="494"/>
      <c r="Z2" s="494"/>
      <c r="AA2" s="494"/>
      <c r="AB2" s="494"/>
      <c r="AC2" s="494"/>
      <c r="AE2" s="496"/>
      <c r="AF2" s="497"/>
      <c r="AI2" s="498"/>
      <c r="BL2" s="499"/>
      <c r="BM2" s="499"/>
      <c r="BN2" s="499"/>
      <c r="BR2" s="500"/>
      <c r="BS2" s="500"/>
      <c r="BT2" s="500"/>
      <c r="BU2" s="500"/>
    </row>
    <row r="3" spans="1:87" ht="17.25" thickBot="1">
      <c r="A3" s="501" t="s">
        <v>277</v>
      </c>
      <c r="B3" s="502"/>
      <c r="C3" s="502"/>
      <c r="D3" s="502"/>
      <c r="E3" s="502"/>
      <c r="F3" s="502"/>
      <c r="G3" s="502"/>
      <c r="H3" s="502"/>
      <c r="I3" s="502"/>
      <c r="J3" s="502"/>
      <c r="K3" s="502"/>
      <c r="L3" s="502"/>
      <c r="M3" s="502"/>
      <c r="N3" s="502"/>
      <c r="O3" s="502"/>
      <c r="P3" s="502"/>
      <c r="Q3" s="502"/>
      <c r="R3" s="502"/>
      <c r="S3" s="502"/>
      <c r="T3" s="502"/>
      <c r="U3" s="502"/>
      <c r="V3" s="502"/>
      <c r="W3" s="502"/>
      <c r="X3" s="502"/>
      <c r="Y3" s="502"/>
      <c r="Z3" s="502"/>
      <c r="AA3" s="502"/>
      <c r="AB3" s="502"/>
      <c r="AC3" s="502"/>
      <c r="AD3" s="502"/>
      <c r="AE3" s="502"/>
      <c r="AF3" s="502"/>
      <c r="AG3" s="502"/>
      <c r="AH3" s="502"/>
      <c r="AI3" s="502"/>
      <c r="AJ3" s="502"/>
      <c r="AK3" s="502"/>
      <c r="AL3" s="502"/>
      <c r="AM3" s="502"/>
      <c r="AN3" s="502"/>
      <c r="AO3" s="502"/>
      <c r="AP3" s="502"/>
      <c r="AQ3" s="502"/>
      <c r="AR3" s="502"/>
      <c r="AS3" s="502"/>
      <c r="AT3" s="502"/>
      <c r="AU3" s="502"/>
      <c r="AV3" s="502"/>
      <c r="AW3" s="502"/>
      <c r="AX3" s="502"/>
      <c r="AY3" s="502"/>
      <c r="BL3" s="504"/>
      <c r="BM3" s="504"/>
      <c r="BN3" s="504"/>
      <c r="BR3" s="505"/>
      <c r="BS3" s="505"/>
      <c r="BT3" s="505"/>
      <c r="BU3" s="505"/>
    </row>
    <row r="4" spans="1:87" s="508" customFormat="1" ht="40.5" customHeight="1" thickBot="1">
      <c r="A4" s="506"/>
      <c r="B4" s="506"/>
      <c r="C4" s="506">
        <v>38717</v>
      </c>
      <c r="D4" s="507">
        <v>38807</v>
      </c>
      <c r="E4" s="507">
        <v>38898</v>
      </c>
      <c r="F4" s="507">
        <v>38990</v>
      </c>
      <c r="G4" s="507">
        <v>39082</v>
      </c>
      <c r="H4" s="506">
        <v>39172</v>
      </c>
      <c r="I4" s="506">
        <v>39263</v>
      </c>
      <c r="J4" s="506">
        <v>39355</v>
      </c>
      <c r="K4" s="506">
        <v>39447</v>
      </c>
      <c r="L4" s="507">
        <v>39538</v>
      </c>
      <c r="M4" s="507">
        <v>39629</v>
      </c>
      <c r="N4" s="507">
        <v>39721</v>
      </c>
      <c r="O4" s="507">
        <v>39813</v>
      </c>
      <c r="P4" s="506">
        <v>39903</v>
      </c>
      <c r="Q4" s="506">
        <v>39994</v>
      </c>
      <c r="R4" s="506">
        <v>40086</v>
      </c>
      <c r="S4" s="506">
        <v>40178</v>
      </c>
      <c r="T4" s="507">
        <v>40268</v>
      </c>
      <c r="U4" s="507">
        <v>40359</v>
      </c>
      <c r="V4" s="507">
        <v>40451</v>
      </c>
      <c r="W4" s="507">
        <v>40543</v>
      </c>
      <c r="X4" s="506">
        <v>40633</v>
      </c>
      <c r="Y4" s="506">
        <v>40724</v>
      </c>
      <c r="Z4" s="506">
        <v>40816</v>
      </c>
      <c r="AA4" s="506">
        <v>40908</v>
      </c>
      <c r="AB4" s="507">
        <v>40999</v>
      </c>
      <c r="AC4" s="507">
        <v>41090</v>
      </c>
      <c r="AD4" s="507">
        <v>41182</v>
      </c>
      <c r="AE4" s="507">
        <v>41274</v>
      </c>
      <c r="AF4" s="506">
        <v>41364</v>
      </c>
      <c r="AG4" s="506">
        <v>41455</v>
      </c>
      <c r="AH4" s="506">
        <v>41547</v>
      </c>
      <c r="AI4" s="506">
        <v>41639</v>
      </c>
      <c r="AJ4" s="507">
        <v>41729</v>
      </c>
      <c r="AK4" s="507">
        <v>41820</v>
      </c>
      <c r="AL4" s="507">
        <v>41912</v>
      </c>
      <c r="AM4" s="507">
        <v>42004</v>
      </c>
      <c r="AN4" s="506">
        <v>42094</v>
      </c>
      <c r="AO4" s="506">
        <v>42185</v>
      </c>
      <c r="AP4" s="506">
        <v>42277</v>
      </c>
      <c r="AQ4" s="506">
        <v>42369</v>
      </c>
      <c r="AR4" s="507">
        <v>42460</v>
      </c>
      <c r="AS4" s="507">
        <v>42551</v>
      </c>
      <c r="AT4" s="507">
        <v>42643</v>
      </c>
      <c r="AU4" s="507">
        <v>42735</v>
      </c>
      <c r="AV4" s="506" t="s">
        <v>252</v>
      </c>
      <c r="AW4" s="506">
        <v>42916</v>
      </c>
      <c r="AX4" s="506">
        <v>43008</v>
      </c>
      <c r="AY4" s="506">
        <v>75971</v>
      </c>
      <c r="BA4" s="509" t="s">
        <v>411</v>
      </c>
      <c r="BB4" s="509" t="s">
        <v>412</v>
      </c>
      <c r="BC4" s="509">
        <v>43190</v>
      </c>
      <c r="BD4" s="509">
        <v>43281</v>
      </c>
      <c r="BE4" s="509">
        <v>43373</v>
      </c>
      <c r="BF4" s="509">
        <v>43465</v>
      </c>
      <c r="BG4" s="510">
        <v>43555</v>
      </c>
      <c r="BH4" s="510">
        <v>43646</v>
      </c>
      <c r="BI4" s="510">
        <v>43738</v>
      </c>
      <c r="BJ4" s="510">
        <v>43830</v>
      </c>
      <c r="BK4" s="510">
        <v>43921</v>
      </c>
      <c r="BL4" s="510">
        <v>44012</v>
      </c>
      <c r="BM4" s="510">
        <v>44104</v>
      </c>
      <c r="BN4" s="510">
        <v>44196</v>
      </c>
      <c r="BO4" s="510">
        <v>44286</v>
      </c>
      <c r="BP4" s="510">
        <v>44377</v>
      </c>
      <c r="BQ4" s="511">
        <v>44469</v>
      </c>
      <c r="BR4" s="511">
        <v>44561</v>
      </c>
      <c r="BS4" s="511">
        <v>44651</v>
      </c>
      <c r="BT4" s="511">
        <v>44742</v>
      </c>
      <c r="BU4" s="511">
        <v>44834</v>
      </c>
      <c r="BV4" s="511">
        <v>44926</v>
      </c>
      <c r="BW4" s="511">
        <v>45016</v>
      </c>
      <c r="BX4" s="511">
        <v>45107</v>
      </c>
      <c r="BY4" s="511">
        <v>45199</v>
      </c>
      <c r="BZ4" s="511">
        <v>45291</v>
      </c>
      <c r="CA4" s="511">
        <v>45382</v>
      </c>
      <c r="CB4" s="511">
        <v>45473</v>
      </c>
      <c r="CC4" s="511">
        <v>45565</v>
      </c>
      <c r="CD4" s="511">
        <v>45657</v>
      </c>
      <c r="CE4" s="511">
        <v>45747</v>
      </c>
      <c r="CF4" s="511">
        <v>45838</v>
      </c>
      <c r="CG4" s="511">
        <v>45930</v>
      </c>
      <c r="CH4" s="511">
        <v>46022</v>
      </c>
      <c r="CI4" s="511">
        <v>46112</v>
      </c>
    </row>
    <row r="5" spans="1:87">
      <c r="B5" s="502"/>
      <c r="C5" s="513"/>
      <c r="D5" s="513"/>
      <c r="E5" s="513"/>
      <c r="F5" s="513"/>
      <c r="G5" s="513"/>
      <c r="H5" s="513"/>
      <c r="I5" s="513"/>
      <c r="J5" s="513"/>
      <c r="K5" s="513"/>
      <c r="L5" s="513"/>
      <c r="M5" s="513"/>
      <c r="N5" s="513"/>
      <c r="O5" s="513"/>
      <c r="P5" s="513"/>
      <c r="Q5" s="513"/>
      <c r="R5" s="513"/>
      <c r="S5" s="513"/>
      <c r="T5" s="513"/>
      <c r="U5" s="513"/>
      <c r="V5" s="513"/>
      <c r="W5" s="513"/>
      <c r="X5" s="513"/>
      <c r="Y5" s="513"/>
      <c r="Z5" s="513"/>
      <c r="AA5" s="513"/>
      <c r="AB5" s="513"/>
      <c r="AC5" s="513"/>
      <c r="AD5" s="513"/>
      <c r="AE5" s="513"/>
      <c r="AF5" s="513"/>
      <c r="AG5" s="513"/>
      <c r="AH5" s="513"/>
      <c r="AI5" s="513"/>
      <c r="AJ5" s="513"/>
      <c r="AK5" s="513"/>
      <c r="AL5" s="513"/>
      <c r="AM5" s="513"/>
      <c r="AN5" s="513"/>
      <c r="AO5" s="513"/>
      <c r="AP5" s="513"/>
      <c r="AQ5" s="513"/>
      <c r="AR5" s="513"/>
      <c r="AS5" s="513"/>
      <c r="AT5" s="513"/>
      <c r="AU5" s="513"/>
    </row>
    <row r="6" spans="1:87">
      <c r="A6" s="512" t="s">
        <v>253</v>
      </c>
      <c r="B6" s="502"/>
      <c r="C6" s="513"/>
      <c r="D6" s="513"/>
      <c r="E6" s="513"/>
      <c r="F6" s="513"/>
      <c r="G6" s="513"/>
      <c r="H6" s="513"/>
      <c r="I6" s="513"/>
      <c r="J6" s="513"/>
      <c r="K6" s="513"/>
      <c r="L6" s="513"/>
      <c r="M6" s="513"/>
      <c r="N6" s="513"/>
      <c r="O6" s="513"/>
      <c r="P6" s="513"/>
      <c r="Q6" s="513"/>
      <c r="R6" s="513"/>
      <c r="S6" s="513"/>
      <c r="T6" s="513"/>
      <c r="U6" s="513"/>
      <c r="V6" s="513"/>
      <c r="W6" s="513"/>
      <c r="X6" s="513"/>
      <c r="Y6" s="513"/>
      <c r="Z6" s="513"/>
      <c r="AA6" s="513"/>
      <c r="AB6" s="513"/>
      <c r="AC6" s="513"/>
      <c r="AD6" s="513"/>
      <c r="AE6" s="513"/>
      <c r="AF6" s="513"/>
      <c r="AG6" s="513"/>
      <c r="AH6" s="513"/>
      <c r="AI6" s="513"/>
      <c r="AJ6" s="513"/>
      <c r="AK6" s="513"/>
      <c r="AL6" s="513"/>
      <c r="AM6" s="513"/>
      <c r="AN6" s="513"/>
      <c r="AO6" s="513"/>
      <c r="AP6" s="513"/>
      <c r="AQ6" s="513"/>
      <c r="AR6" s="513"/>
      <c r="AS6" s="513"/>
      <c r="AT6" s="513"/>
      <c r="AU6" s="513"/>
    </row>
    <row r="7" spans="1:87">
      <c r="B7" s="502" t="s">
        <v>254</v>
      </c>
      <c r="C7" s="513">
        <v>1347208</v>
      </c>
      <c r="D7" s="513">
        <v>1362350</v>
      </c>
      <c r="E7" s="513">
        <v>1372795</v>
      </c>
      <c r="F7" s="513">
        <v>1403657</v>
      </c>
      <c r="G7" s="513">
        <v>1412812</v>
      </c>
      <c r="H7" s="513">
        <v>1438804</v>
      </c>
      <c r="I7" s="513">
        <v>1455569</v>
      </c>
      <c r="J7" s="513">
        <v>1482297</v>
      </c>
      <c r="K7" s="513">
        <v>1489734</v>
      </c>
      <c r="L7" s="513">
        <v>1518887</v>
      </c>
      <c r="M7" s="513">
        <v>1527523</v>
      </c>
      <c r="N7" s="513">
        <v>1604439</v>
      </c>
      <c r="O7" s="513">
        <v>1613274</v>
      </c>
      <c r="P7" s="513">
        <v>1929055</v>
      </c>
      <c r="Q7" s="513">
        <v>2077834</v>
      </c>
      <c r="R7" s="513">
        <v>2215178</v>
      </c>
      <c r="S7" s="513">
        <v>2306480</v>
      </c>
      <c r="T7" s="513">
        <v>2483195</v>
      </c>
      <c r="U7" s="513">
        <v>2573774</v>
      </c>
      <c r="V7" s="513">
        <v>2760258</v>
      </c>
      <c r="W7" s="513">
        <v>2857378</v>
      </c>
      <c r="X7" s="513">
        <v>2960233</v>
      </c>
      <c r="Y7" s="513">
        <v>3129819</v>
      </c>
      <c r="Z7" s="513">
        <v>3268103</v>
      </c>
      <c r="AA7" s="513">
        <v>3309203</v>
      </c>
      <c r="AB7" s="513">
        <v>3479074</v>
      </c>
      <c r="AC7" s="513">
        <v>3728270</v>
      </c>
      <c r="AD7" s="513">
        <v>3976854</v>
      </c>
      <c r="AE7" s="513">
        <v>4175886</v>
      </c>
      <c r="AF7" s="513">
        <v>4719235</v>
      </c>
      <c r="AG7" s="513">
        <v>5034734</v>
      </c>
      <c r="AH7" s="513">
        <v>5263797</v>
      </c>
      <c r="AI7" s="513">
        <v>5504590</v>
      </c>
      <c r="AJ7" s="513">
        <v>5792634</v>
      </c>
      <c r="AK7" s="513">
        <v>6079364</v>
      </c>
      <c r="AL7" s="513">
        <v>6208963</v>
      </c>
      <c r="AM7" s="513">
        <v>6487495</v>
      </c>
      <c r="AN7" s="513">
        <v>6592760</v>
      </c>
      <c r="AO7" s="513">
        <v>6727014</v>
      </c>
      <c r="AP7" s="513">
        <v>6869780</v>
      </c>
      <c r="AQ7" s="513">
        <v>7108668</v>
      </c>
      <c r="AR7" s="513">
        <v>7277045</v>
      </c>
      <c r="AS7" s="513">
        <v>7398263</v>
      </c>
      <c r="AT7" s="513">
        <v>6963155</v>
      </c>
      <c r="AU7" s="513">
        <v>7039097</v>
      </c>
      <c r="AV7" s="514">
        <v>7025454</v>
      </c>
      <c r="AW7" s="514">
        <v>7107883</v>
      </c>
      <c r="AX7" s="514">
        <v>7127051</v>
      </c>
      <c r="AY7" s="514">
        <v>7109151</v>
      </c>
      <c r="BA7" s="514">
        <v>7109135</v>
      </c>
      <c r="BB7" s="514">
        <v>7109135</v>
      </c>
      <c r="BC7" s="514">
        <v>6584084.6065599956</v>
      </c>
      <c r="BD7" s="514">
        <v>5905826</v>
      </c>
      <c r="BE7" s="514">
        <v>5834488</v>
      </c>
      <c r="BF7" s="514">
        <v>4338160</v>
      </c>
      <c r="BG7" s="514">
        <v>4323930</v>
      </c>
      <c r="BH7" s="514">
        <v>4321481</v>
      </c>
      <c r="BI7" s="514">
        <v>3492294</v>
      </c>
      <c r="BJ7" s="514">
        <v>3448761</v>
      </c>
      <c r="BK7" s="514">
        <v>3433842</v>
      </c>
      <c r="BL7" s="514">
        <v>2374280</v>
      </c>
      <c r="BM7" s="514">
        <v>2357652</v>
      </c>
      <c r="BN7" s="514">
        <v>2076384</v>
      </c>
      <c r="BO7" s="514">
        <v>2368453</v>
      </c>
      <c r="BP7" s="514">
        <v>2340975</v>
      </c>
      <c r="BQ7" s="514">
        <v>2350179</v>
      </c>
      <c r="BR7" s="514">
        <v>2013607</v>
      </c>
      <c r="BS7" s="514">
        <v>2006002</v>
      </c>
      <c r="BT7" s="514">
        <v>2015072</v>
      </c>
      <c r="BU7" s="514">
        <v>1958911</v>
      </c>
      <c r="BV7" s="514">
        <v>961093</v>
      </c>
      <c r="BW7" s="514">
        <v>988676</v>
      </c>
      <c r="BX7" s="514">
        <v>1020232</v>
      </c>
      <c r="BY7" s="514">
        <v>952670</v>
      </c>
      <c r="BZ7" s="514">
        <v>632013</v>
      </c>
      <c r="CA7" s="514">
        <v>660873</v>
      </c>
      <c r="CB7" s="514">
        <v>710115</v>
      </c>
      <c r="CC7" s="514">
        <v>736619</v>
      </c>
      <c r="CD7" s="514">
        <v>516523</v>
      </c>
      <c r="CE7" s="514">
        <v>578135</v>
      </c>
      <c r="CF7" s="514">
        <v>637755</v>
      </c>
      <c r="CG7" s="514">
        <v>766422</v>
      </c>
      <c r="CH7" s="514">
        <v>637403</v>
      </c>
      <c r="CI7" s="514">
        <v>722916</v>
      </c>
    </row>
    <row r="8" spans="1:87">
      <c r="B8" s="502" t="s">
        <v>255</v>
      </c>
      <c r="C8" s="513">
        <v>409887</v>
      </c>
      <c r="D8" s="513">
        <v>414309</v>
      </c>
      <c r="E8" s="513">
        <v>430758</v>
      </c>
      <c r="F8" s="513">
        <v>444152</v>
      </c>
      <c r="G8" s="513">
        <v>469893</v>
      </c>
      <c r="H8" s="513">
        <v>488022</v>
      </c>
      <c r="I8" s="513">
        <v>490478</v>
      </c>
      <c r="J8" s="513">
        <v>504297</v>
      </c>
      <c r="K8" s="513">
        <v>515107</v>
      </c>
      <c r="L8" s="513">
        <v>521639</v>
      </c>
      <c r="M8" s="513">
        <v>520937</v>
      </c>
      <c r="N8" s="513">
        <v>558827</v>
      </c>
      <c r="O8" s="513">
        <v>576922</v>
      </c>
      <c r="P8" s="513">
        <v>724208</v>
      </c>
      <c r="Q8" s="513">
        <v>777477</v>
      </c>
      <c r="R8" s="513">
        <v>849423</v>
      </c>
      <c r="S8" s="513">
        <v>908144</v>
      </c>
      <c r="T8" s="513">
        <v>988290</v>
      </c>
      <c r="U8" s="513">
        <v>1035888</v>
      </c>
      <c r="V8" s="513">
        <v>1123626</v>
      </c>
      <c r="W8" s="513">
        <v>1215299</v>
      </c>
      <c r="X8" s="513">
        <v>1276826</v>
      </c>
      <c r="Y8" s="513">
        <v>1392784</v>
      </c>
      <c r="Z8" s="513">
        <v>1486906</v>
      </c>
      <c r="AA8" s="513">
        <v>1560561</v>
      </c>
      <c r="AB8" s="513">
        <v>1662878</v>
      </c>
      <c r="AC8" s="513">
        <v>1781708</v>
      </c>
      <c r="AD8" s="513">
        <v>1923760</v>
      </c>
      <c r="AE8" s="513">
        <v>1884687</v>
      </c>
      <c r="AF8" s="513">
        <v>2156826</v>
      </c>
      <c r="AG8" s="513">
        <v>2277817</v>
      </c>
      <c r="AH8" s="513">
        <v>2389707</v>
      </c>
      <c r="AI8" s="513">
        <v>2478976</v>
      </c>
      <c r="AJ8" s="513">
        <v>2584294</v>
      </c>
      <c r="AK8" s="513">
        <v>2646696</v>
      </c>
      <c r="AL8" s="513">
        <v>2708061</v>
      </c>
      <c r="AM8" s="513">
        <v>2819076</v>
      </c>
      <c r="AN8" s="513">
        <v>2868001</v>
      </c>
      <c r="AO8" s="513">
        <v>2901058</v>
      </c>
      <c r="AP8" s="513">
        <v>2966349</v>
      </c>
      <c r="AQ8" s="513">
        <v>2973986</v>
      </c>
      <c r="AR8" s="513">
        <v>3045886</v>
      </c>
      <c r="AS8" s="513">
        <v>3071479</v>
      </c>
      <c r="AT8" s="513">
        <v>2968566</v>
      </c>
      <c r="AU8" s="513">
        <v>3009222</v>
      </c>
      <c r="AV8" s="514">
        <v>2940856</v>
      </c>
      <c r="AW8" s="514">
        <v>2931885</v>
      </c>
      <c r="AX8" s="514">
        <v>2921102</v>
      </c>
      <c r="AY8" s="514">
        <v>2893206</v>
      </c>
      <c r="BA8" s="514">
        <v>2893190</v>
      </c>
      <c r="BB8" s="514">
        <v>2319506</v>
      </c>
      <c r="BC8" s="514">
        <v>2207437</v>
      </c>
      <c r="BD8" s="514">
        <v>2073670</v>
      </c>
      <c r="BE8" s="514">
        <v>2071754</v>
      </c>
      <c r="BF8" s="514">
        <v>1448257</v>
      </c>
      <c r="BG8" s="514">
        <v>1423799</v>
      </c>
      <c r="BH8" s="514">
        <v>1425060</v>
      </c>
      <c r="BI8" s="514">
        <v>1267257</v>
      </c>
      <c r="BJ8" s="514">
        <v>1171281</v>
      </c>
      <c r="BK8" s="514">
        <v>1157234</v>
      </c>
      <c r="BL8" s="514">
        <v>882850</v>
      </c>
      <c r="BM8" s="514">
        <v>849948</v>
      </c>
      <c r="BN8" s="514">
        <v>726731</v>
      </c>
      <c r="BO8" s="514">
        <v>998439</v>
      </c>
      <c r="BP8" s="514">
        <v>916168</v>
      </c>
      <c r="BQ8" s="514">
        <v>870444</v>
      </c>
      <c r="BR8" s="514">
        <v>566941</v>
      </c>
      <c r="BS8" s="514">
        <v>537513</v>
      </c>
      <c r="BT8" s="514">
        <v>490874</v>
      </c>
      <c r="BU8" s="514">
        <v>433188</v>
      </c>
      <c r="BV8" s="514">
        <v>220917</v>
      </c>
      <c r="BW8" s="514">
        <v>193926</v>
      </c>
      <c r="BX8" s="514">
        <v>189955</v>
      </c>
      <c r="BY8" s="514">
        <v>199184</v>
      </c>
      <c r="BZ8" s="514">
        <v>174589</v>
      </c>
      <c r="CA8" s="514">
        <v>182895</v>
      </c>
      <c r="CB8" s="514">
        <v>215904</v>
      </c>
      <c r="CC8" s="514">
        <v>246797</v>
      </c>
      <c r="CD8" s="514">
        <v>124895</v>
      </c>
      <c r="CE8" s="514">
        <v>149252</v>
      </c>
      <c r="CF8" s="514">
        <v>164571</v>
      </c>
      <c r="CG8" s="514">
        <v>241236</v>
      </c>
      <c r="CH8" s="514">
        <v>183173</v>
      </c>
      <c r="CI8" s="514">
        <v>204882</v>
      </c>
    </row>
    <row r="9" spans="1:87">
      <c r="B9" s="502" t="s">
        <v>256</v>
      </c>
      <c r="C9" s="513">
        <f t="shared" ref="C9:AV9" si="0">+C7-C8</f>
        <v>937321</v>
      </c>
      <c r="D9" s="513">
        <f t="shared" si="0"/>
        <v>948041</v>
      </c>
      <c r="E9" s="513">
        <f t="shared" si="0"/>
        <v>942037</v>
      </c>
      <c r="F9" s="513">
        <f t="shared" si="0"/>
        <v>959505</v>
      </c>
      <c r="G9" s="513">
        <f t="shared" si="0"/>
        <v>942919</v>
      </c>
      <c r="H9" s="513">
        <f t="shared" si="0"/>
        <v>950782</v>
      </c>
      <c r="I9" s="513">
        <f t="shared" si="0"/>
        <v>965091</v>
      </c>
      <c r="J9" s="513">
        <f t="shared" si="0"/>
        <v>978000</v>
      </c>
      <c r="K9" s="513">
        <f t="shared" si="0"/>
        <v>974627</v>
      </c>
      <c r="L9" s="513">
        <f t="shared" si="0"/>
        <v>997248</v>
      </c>
      <c r="M9" s="513">
        <f t="shared" si="0"/>
        <v>1006586</v>
      </c>
      <c r="N9" s="513">
        <f t="shared" si="0"/>
        <v>1045612</v>
      </c>
      <c r="O9" s="513">
        <f t="shared" si="0"/>
        <v>1036352</v>
      </c>
      <c r="P9" s="513">
        <f t="shared" si="0"/>
        <v>1204847</v>
      </c>
      <c r="Q9" s="513">
        <f t="shared" si="0"/>
        <v>1300357</v>
      </c>
      <c r="R9" s="513">
        <f t="shared" si="0"/>
        <v>1365755</v>
      </c>
      <c r="S9" s="513">
        <f t="shared" si="0"/>
        <v>1398336</v>
      </c>
      <c r="T9" s="513">
        <f t="shared" si="0"/>
        <v>1494905</v>
      </c>
      <c r="U9" s="513">
        <f t="shared" si="0"/>
        <v>1537886</v>
      </c>
      <c r="V9" s="513">
        <f t="shared" si="0"/>
        <v>1636632</v>
      </c>
      <c r="W9" s="513">
        <f t="shared" si="0"/>
        <v>1642079</v>
      </c>
      <c r="X9" s="513">
        <f t="shared" si="0"/>
        <v>1683407</v>
      </c>
      <c r="Y9" s="513">
        <f t="shared" si="0"/>
        <v>1737035</v>
      </c>
      <c r="Z9" s="513">
        <f t="shared" si="0"/>
        <v>1781197</v>
      </c>
      <c r="AA9" s="513">
        <f t="shared" si="0"/>
        <v>1748642</v>
      </c>
      <c r="AB9" s="513">
        <f t="shared" si="0"/>
        <v>1816196</v>
      </c>
      <c r="AC9" s="513">
        <f t="shared" si="0"/>
        <v>1946562</v>
      </c>
      <c r="AD9" s="513">
        <f t="shared" si="0"/>
        <v>2053094</v>
      </c>
      <c r="AE9" s="513">
        <f t="shared" si="0"/>
        <v>2291199</v>
      </c>
      <c r="AF9" s="513">
        <f t="shared" si="0"/>
        <v>2562409</v>
      </c>
      <c r="AG9" s="513">
        <f t="shared" si="0"/>
        <v>2756917</v>
      </c>
      <c r="AH9" s="513">
        <f t="shared" si="0"/>
        <v>2874090</v>
      </c>
      <c r="AI9" s="513">
        <f t="shared" si="0"/>
        <v>3025614</v>
      </c>
      <c r="AJ9" s="513">
        <f t="shared" si="0"/>
        <v>3208340</v>
      </c>
      <c r="AK9" s="513">
        <f t="shared" si="0"/>
        <v>3432668</v>
      </c>
      <c r="AL9" s="513">
        <f t="shared" si="0"/>
        <v>3500902</v>
      </c>
      <c r="AM9" s="513">
        <f t="shared" si="0"/>
        <v>3668419</v>
      </c>
      <c r="AN9" s="513">
        <f t="shared" si="0"/>
        <v>3724759</v>
      </c>
      <c r="AO9" s="513">
        <f t="shared" si="0"/>
        <v>3825956</v>
      </c>
      <c r="AP9" s="513">
        <f t="shared" si="0"/>
        <v>3903431</v>
      </c>
      <c r="AQ9" s="513">
        <f t="shared" si="0"/>
        <v>4134682</v>
      </c>
      <c r="AR9" s="513">
        <f t="shared" si="0"/>
        <v>4231159</v>
      </c>
      <c r="AS9" s="513">
        <f t="shared" si="0"/>
        <v>4326784</v>
      </c>
      <c r="AT9" s="513">
        <f t="shared" si="0"/>
        <v>3994589</v>
      </c>
      <c r="AU9" s="513">
        <f t="shared" si="0"/>
        <v>4029875</v>
      </c>
      <c r="AV9" s="514">
        <f t="shared" si="0"/>
        <v>4084598</v>
      </c>
      <c r="AW9" s="514">
        <v>4175998</v>
      </c>
      <c r="AX9" s="514">
        <v>4205949</v>
      </c>
      <c r="AY9" s="514">
        <v>4215945</v>
      </c>
      <c r="AZ9" s="515"/>
      <c r="BA9" s="514">
        <v>4215945</v>
      </c>
      <c r="BB9" s="514">
        <v>4789629</v>
      </c>
      <c r="BC9" s="514">
        <v>4376647.6065599956</v>
      </c>
      <c r="BD9" s="514">
        <v>3832156</v>
      </c>
      <c r="BE9" s="514">
        <v>3762734</v>
      </c>
      <c r="BF9" s="514">
        <v>2889903</v>
      </c>
      <c r="BG9" s="514">
        <v>2900131</v>
      </c>
      <c r="BH9" s="514">
        <v>2896421</v>
      </c>
      <c r="BI9" s="514">
        <v>2225037</v>
      </c>
      <c r="BJ9" s="514">
        <v>2277480</v>
      </c>
      <c r="BK9" s="514">
        <v>2276608</v>
      </c>
      <c r="BL9" s="514">
        <v>1491430</v>
      </c>
      <c r="BM9" s="514">
        <v>1507704</v>
      </c>
      <c r="BN9" s="514">
        <v>1349653</v>
      </c>
      <c r="BO9" s="514">
        <v>1370014</v>
      </c>
      <c r="BP9" s="514">
        <v>1424807</v>
      </c>
      <c r="BQ9" s="514">
        <v>1479735</v>
      </c>
      <c r="BR9" s="514">
        <v>1446666</v>
      </c>
      <c r="BS9" s="514">
        <v>1468489</v>
      </c>
      <c r="BT9" s="514">
        <v>1524198</v>
      </c>
      <c r="BU9" s="514">
        <v>1525723</v>
      </c>
      <c r="BV9" s="514">
        <v>740176</v>
      </c>
      <c r="BW9" s="514">
        <v>794750</v>
      </c>
      <c r="BX9" s="514">
        <v>830277</v>
      </c>
      <c r="BY9" s="514">
        <v>753486</v>
      </c>
      <c r="BZ9" s="514">
        <v>457424</v>
      </c>
      <c r="CA9" s="514">
        <v>477978</v>
      </c>
      <c r="CB9" s="514">
        <v>494211</v>
      </c>
      <c r="CC9" s="514">
        <v>489822</v>
      </c>
      <c r="CD9" s="514">
        <v>391628</v>
      </c>
      <c r="CE9" s="514">
        <v>428883</v>
      </c>
      <c r="CF9" s="514">
        <v>473184</v>
      </c>
      <c r="CG9" s="514">
        <v>525186</v>
      </c>
      <c r="CH9" s="514">
        <v>454230</v>
      </c>
      <c r="CI9" s="514">
        <v>518034</v>
      </c>
    </row>
    <row r="10" spans="1:87">
      <c r="B10" s="502" t="s">
        <v>257</v>
      </c>
      <c r="C10" s="513">
        <v>926709</v>
      </c>
      <c r="D10" s="513">
        <v>920990</v>
      </c>
      <c r="E10" s="513">
        <v>909357</v>
      </c>
      <c r="F10" s="513">
        <v>953478</v>
      </c>
      <c r="G10" s="513">
        <v>982882</v>
      </c>
      <c r="H10" s="513">
        <v>976812</v>
      </c>
      <c r="I10" s="513">
        <v>977681</v>
      </c>
      <c r="J10" s="513">
        <v>981989</v>
      </c>
      <c r="K10" s="513">
        <v>1019435</v>
      </c>
      <c r="L10" s="513">
        <v>1011795</v>
      </c>
      <c r="M10" s="513">
        <v>1010396</v>
      </c>
      <c r="N10" s="513">
        <v>1022014</v>
      </c>
      <c r="O10" s="513">
        <v>1047483</v>
      </c>
      <c r="P10" s="513">
        <v>1054670</v>
      </c>
      <c r="Q10" s="513">
        <v>1069364</v>
      </c>
      <c r="R10" s="513">
        <v>1066952</v>
      </c>
      <c r="S10" s="513">
        <v>1107038</v>
      </c>
      <c r="T10" s="513">
        <v>1134483</v>
      </c>
      <c r="U10" s="513">
        <v>1134306</v>
      </c>
      <c r="V10" s="513">
        <v>1133752</v>
      </c>
      <c r="W10" s="513">
        <v>1249172</v>
      </c>
      <c r="X10" s="513">
        <v>1262685</v>
      </c>
      <c r="Y10" s="513">
        <v>1291060</v>
      </c>
      <c r="Z10" s="513">
        <v>1294072</v>
      </c>
      <c r="AA10" s="513">
        <v>1262622</v>
      </c>
      <c r="AB10" s="513">
        <v>1294303</v>
      </c>
      <c r="AC10" s="513">
        <v>1316247</v>
      </c>
      <c r="AD10" s="513">
        <v>1314798</v>
      </c>
      <c r="AE10" s="513">
        <v>1466621</v>
      </c>
      <c r="AF10" s="513">
        <v>1479165</v>
      </c>
      <c r="AG10" s="513">
        <v>1485280</v>
      </c>
      <c r="AH10" s="513">
        <v>1440681</v>
      </c>
      <c r="AI10" s="513">
        <v>1454301</v>
      </c>
      <c r="AJ10" s="513">
        <v>1440060</v>
      </c>
      <c r="AK10" s="513">
        <v>1435423</v>
      </c>
      <c r="AL10" s="513">
        <v>1352208</v>
      </c>
      <c r="AM10" s="513">
        <v>1318437</v>
      </c>
      <c r="AN10" s="513">
        <v>1305645</v>
      </c>
      <c r="AO10" s="513">
        <v>1290408</v>
      </c>
      <c r="AP10" s="513">
        <v>1283131</v>
      </c>
      <c r="AQ10" s="513">
        <v>1244739</v>
      </c>
      <c r="AR10" s="513">
        <v>1234035</v>
      </c>
      <c r="AS10" s="513">
        <v>1194541</v>
      </c>
      <c r="AT10" s="513">
        <v>1090321</v>
      </c>
      <c r="AU10" s="513">
        <v>1066784</v>
      </c>
      <c r="AV10" s="514">
        <v>1043040</v>
      </c>
      <c r="AW10" s="514">
        <v>990151</v>
      </c>
      <c r="AX10" s="514">
        <v>949203</v>
      </c>
      <c r="AY10" s="514">
        <v>858628</v>
      </c>
      <c r="BA10" s="514">
        <v>858628</v>
      </c>
      <c r="BB10" s="514">
        <v>858628</v>
      </c>
      <c r="BC10" s="514">
        <v>838670</v>
      </c>
      <c r="BD10" s="514">
        <v>711570</v>
      </c>
      <c r="BE10" s="514">
        <v>705735</v>
      </c>
      <c r="BF10" s="514">
        <v>727371</v>
      </c>
      <c r="BG10" s="514">
        <v>797148</v>
      </c>
      <c r="BH10" s="514">
        <v>781349</v>
      </c>
      <c r="BI10" s="514">
        <v>474946</v>
      </c>
      <c r="BJ10" s="514">
        <v>444039</v>
      </c>
      <c r="BK10" s="514">
        <v>464166</v>
      </c>
      <c r="BL10" s="514">
        <v>312718</v>
      </c>
      <c r="BM10" s="514">
        <v>358622</v>
      </c>
      <c r="BN10" s="514">
        <v>302916</v>
      </c>
      <c r="BO10" s="514">
        <v>693358</v>
      </c>
      <c r="BP10" s="514">
        <v>645019</v>
      </c>
      <c r="BQ10" s="514">
        <v>619619</v>
      </c>
      <c r="BR10" s="514">
        <v>376542</v>
      </c>
      <c r="BS10" s="514">
        <v>369988</v>
      </c>
      <c r="BT10" s="514">
        <v>335177</v>
      </c>
      <c r="BU10" s="514">
        <v>332760</v>
      </c>
      <c r="BV10" s="514">
        <v>68495</v>
      </c>
      <c r="BW10" s="514">
        <v>66537</v>
      </c>
      <c r="BX10" s="514">
        <v>66508</v>
      </c>
      <c r="BY10" s="514">
        <v>50648</v>
      </c>
      <c r="BZ10" s="514">
        <v>49025</v>
      </c>
      <c r="CA10" s="514">
        <v>48264</v>
      </c>
      <c r="CB10" s="514">
        <v>48201</v>
      </c>
      <c r="CC10" s="514">
        <v>48868</v>
      </c>
      <c r="CD10" s="514">
        <v>38972</v>
      </c>
      <c r="CE10" s="514">
        <v>36071</v>
      </c>
      <c r="CF10" s="514">
        <v>35655</v>
      </c>
      <c r="CG10" s="514">
        <f>+BZ30</f>
        <v>49025</v>
      </c>
      <c r="CH10" s="514">
        <v>27972</v>
      </c>
      <c r="CI10" s="514">
        <v>26440</v>
      </c>
    </row>
    <row r="11" spans="1:87" s="512" customFormat="1" ht="17.25" thickBot="1">
      <c r="A11" s="516"/>
      <c r="B11" s="517" t="s">
        <v>258</v>
      </c>
      <c r="C11" s="518">
        <f>+C9/C7</f>
        <v>0.69575076751325704</v>
      </c>
      <c r="D11" s="518">
        <f t="shared" ref="D11:AF11" si="1">+D9/D7</f>
        <v>0.69588651961683856</v>
      </c>
      <c r="E11" s="518">
        <f t="shared" si="1"/>
        <v>0.68621826274134157</v>
      </c>
      <c r="F11" s="518">
        <f t="shared" si="1"/>
        <v>0.68357511842280561</v>
      </c>
      <c r="G11" s="518">
        <f t="shared" si="1"/>
        <v>0.66740585442366007</v>
      </c>
      <c r="H11" s="518">
        <f t="shared" si="1"/>
        <v>0.66081412061684563</v>
      </c>
      <c r="I11" s="518">
        <f t="shared" si="1"/>
        <v>0.66303349411810775</v>
      </c>
      <c r="J11" s="518">
        <f t="shared" si="1"/>
        <v>0.65978680385914568</v>
      </c>
      <c r="K11" s="518">
        <f t="shared" si="1"/>
        <v>0.65422887575902811</v>
      </c>
      <c r="L11" s="518">
        <f t="shared" si="1"/>
        <v>0.65656497158774818</v>
      </c>
      <c r="M11" s="518">
        <f t="shared" si="1"/>
        <v>0.65896618250592631</v>
      </c>
      <c r="N11" s="518">
        <f t="shared" si="1"/>
        <v>0.65169944136237024</v>
      </c>
      <c r="O11" s="518">
        <f t="shared" si="1"/>
        <v>0.64239056725639909</v>
      </c>
      <c r="P11" s="518">
        <f t="shared" si="1"/>
        <v>0.62457887411193569</v>
      </c>
      <c r="Q11" s="518">
        <f t="shared" si="1"/>
        <v>0.62582333333654183</v>
      </c>
      <c r="R11" s="518">
        <f t="shared" si="1"/>
        <v>0.61654413324798274</v>
      </c>
      <c r="S11" s="518">
        <f>+S9/S7</f>
        <v>0.60626409073566645</v>
      </c>
      <c r="T11" s="518">
        <f t="shared" si="1"/>
        <v>0.60200870249819283</v>
      </c>
      <c r="U11" s="518">
        <f t="shared" si="1"/>
        <v>0.59752177153083375</v>
      </c>
      <c r="V11" s="518">
        <f t="shared" si="1"/>
        <v>0.592927182893773</v>
      </c>
      <c r="W11" s="518">
        <f t="shared" si="1"/>
        <v>0.57468035380688165</v>
      </c>
      <c r="X11" s="518">
        <f t="shared" si="1"/>
        <v>0.56867381722992749</v>
      </c>
      <c r="Y11" s="518">
        <f t="shared" si="1"/>
        <v>0.55499535276640599</v>
      </c>
      <c r="Z11" s="518">
        <f t="shared" si="1"/>
        <v>0.54502474371217802</v>
      </c>
      <c r="AA11" s="518">
        <f>+AA9/AA7</f>
        <v>0.52841786980127847</v>
      </c>
      <c r="AB11" s="518">
        <f t="shared" si="1"/>
        <v>0.52203431142884571</v>
      </c>
      <c r="AC11" s="518">
        <f>+AC9/AC7</f>
        <v>0.52210864556483305</v>
      </c>
      <c r="AD11" s="518">
        <f t="shared" si="1"/>
        <v>0.51626084337016143</v>
      </c>
      <c r="AE11" s="518">
        <f t="shared" si="1"/>
        <v>0.54867374253032775</v>
      </c>
      <c r="AF11" s="518">
        <f t="shared" si="1"/>
        <v>0.54297126546993313</v>
      </c>
      <c r="AG11" s="518">
        <f>+AG9/AG7</f>
        <v>0.54757947490373871</v>
      </c>
      <c r="AH11" s="518">
        <f>+AH9/AH7</f>
        <v>0.54601079790880991</v>
      </c>
      <c r="AI11" s="518">
        <f>ROUND(+AI9/AI7,4)</f>
        <v>0.54969999999999997</v>
      </c>
      <c r="AJ11" s="518">
        <f t="shared" ref="AJ11:AU11" si="2">ROUND(+AJ9/AJ7,4)</f>
        <v>0.55389999999999995</v>
      </c>
      <c r="AK11" s="518">
        <f t="shared" si="2"/>
        <v>0.56459999999999999</v>
      </c>
      <c r="AL11" s="518">
        <f t="shared" si="2"/>
        <v>0.56379999999999997</v>
      </c>
      <c r="AM11" s="518">
        <f t="shared" si="2"/>
        <v>0.5655</v>
      </c>
      <c r="AN11" s="518">
        <f t="shared" si="2"/>
        <v>0.56499999999999995</v>
      </c>
      <c r="AO11" s="518">
        <f t="shared" si="2"/>
        <v>0.56869999999999998</v>
      </c>
      <c r="AP11" s="518">
        <f t="shared" si="2"/>
        <v>0.56820000000000004</v>
      </c>
      <c r="AQ11" s="518">
        <f t="shared" si="2"/>
        <v>0.58160000000000001</v>
      </c>
      <c r="AR11" s="518">
        <f t="shared" si="2"/>
        <v>0.58140000000000003</v>
      </c>
      <c r="AS11" s="518">
        <f t="shared" si="2"/>
        <v>0.58479999999999999</v>
      </c>
      <c r="AT11" s="518">
        <f t="shared" si="2"/>
        <v>0.57369999999999999</v>
      </c>
      <c r="AU11" s="518">
        <f t="shared" si="2"/>
        <v>0.57250000000000001</v>
      </c>
      <c r="AV11" s="519">
        <f>ROUND(+AV9/AV7,4)</f>
        <v>0.58140000000000003</v>
      </c>
      <c r="AW11" s="519">
        <f>ROUND(+AW9/AW7,4)</f>
        <v>0.58750000000000002</v>
      </c>
      <c r="AX11" s="519">
        <v>0.59009999999999996</v>
      </c>
      <c r="AY11" s="519">
        <v>0.59299999999999997</v>
      </c>
      <c r="BA11" s="519">
        <v>0.59299999999999997</v>
      </c>
      <c r="BB11" s="519">
        <v>0.67369999999999997</v>
      </c>
      <c r="BC11" s="519">
        <v>0.66469999999999996</v>
      </c>
      <c r="BD11" s="519">
        <v>0.64890000000000003</v>
      </c>
      <c r="BE11" s="519">
        <v>0.64490000000000003</v>
      </c>
      <c r="BF11" s="519">
        <v>0.66620000000000001</v>
      </c>
      <c r="BG11" s="519">
        <f>ROUND(+BG9/BG7,4)</f>
        <v>0.67069999999999996</v>
      </c>
      <c r="BH11" s="519">
        <v>0.67020000000000002</v>
      </c>
      <c r="BI11" s="519">
        <v>0.6371</v>
      </c>
      <c r="BJ11" s="519">
        <v>0.66039999999999999</v>
      </c>
      <c r="BK11" s="519">
        <v>0.66300000000000003</v>
      </c>
      <c r="BL11" s="519">
        <v>0.62819999999999998</v>
      </c>
      <c r="BM11" s="519">
        <v>0.63949999999999996</v>
      </c>
      <c r="BN11" s="519">
        <v>0.65</v>
      </c>
      <c r="BO11" s="519">
        <v>0.57840000000000003</v>
      </c>
      <c r="BP11" s="519">
        <v>0.60860000000000003</v>
      </c>
      <c r="BQ11" s="519">
        <v>0.62960000000000005</v>
      </c>
      <c r="BR11" s="519">
        <v>0.71840000000000004</v>
      </c>
      <c r="BS11" s="519">
        <v>0.73199999999999998</v>
      </c>
      <c r="BT11" s="519">
        <v>0.75639999999999996</v>
      </c>
      <c r="BU11" s="519">
        <v>0.77890000000000004</v>
      </c>
      <c r="BV11" s="519">
        <v>0.77010000000000001</v>
      </c>
      <c r="BW11" s="519">
        <v>0.80389999999999995</v>
      </c>
      <c r="BX11" s="519">
        <v>0.81379999999999997</v>
      </c>
      <c r="BY11" s="519">
        <v>0.79090000000000005</v>
      </c>
      <c r="BZ11" s="519">
        <v>0.7238</v>
      </c>
      <c r="CA11" s="519">
        <v>0.72330000000000005</v>
      </c>
      <c r="CB11" s="519">
        <v>0.69599999999999995</v>
      </c>
      <c r="CC11" s="519">
        <v>0.66500000000000004</v>
      </c>
      <c r="CD11" s="519">
        <v>0.75819999999999999</v>
      </c>
      <c r="CE11" s="519">
        <v>0.74180000000000001</v>
      </c>
      <c r="CF11" s="519">
        <v>0.74199999999999999</v>
      </c>
      <c r="CG11" s="519">
        <v>0.68520000000000003</v>
      </c>
      <c r="CH11" s="519">
        <v>0.71260000000000001</v>
      </c>
      <c r="CI11" s="519">
        <v>0.71660000000000001</v>
      </c>
    </row>
    <row r="12" spans="1:87" s="512" customFormat="1" ht="17.25" thickBot="1">
      <c r="A12" s="520"/>
      <c r="B12" s="521" t="s">
        <v>259</v>
      </c>
      <c r="C12" s="522">
        <f>(C9+C10)/(C7+C10)</f>
        <v>0.81974408036880853</v>
      </c>
      <c r="D12" s="522">
        <f>(D9+D10)/(D7+D10)</f>
        <v>0.81855133269683888</v>
      </c>
      <c r="E12" s="522">
        <f t="shared" ref="E12:AF12" si="3">(E9+E10)/(E7+E10)</f>
        <v>0.81124920688893642</v>
      </c>
      <c r="F12" s="522">
        <f t="shared" si="3"/>
        <v>0.81157125069204772</v>
      </c>
      <c r="G12" s="522">
        <f t="shared" si="3"/>
        <v>0.80385934096758604</v>
      </c>
      <c r="H12" s="522">
        <f t="shared" si="3"/>
        <v>0.79797202866680794</v>
      </c>
      <c r="I12" s="522">
        <f t="shared" si="3"/>
        <v>0.79842679543819994</v>
      </c>
      <c r="J12" s="522">
        <f t="shared" si="3"/>
        <v>0.79535776285707094</v>
      </c>
      <c r="K12" s="522">
        <f t="shared" si="3"/>
        <v>0.79471012115963491</v>
      </c>
      <c r="L12" s="522">
        <f t="shared" si="3"/>
        <v>0.79387414143697232</v>
      </c>
      <c r="M12" s="522">
        <f t="shared" si="3"/>
        <v>0.79473852396392475</v>
      </c>
      <c r="N12" s="522">
        <f t="shared" si="3"/>
        <v>0.787231296352914</v>
      </c>
      <c r="O12" s="522">
        <f t="shared" si="3"/>
        <v>0.78317373589546135</v>
      </c>
      <c r="P12" s="522">
        <f t="shared" si="3"/>
        <v>0.75728058048245062</v>
      </c>
      <c r="Q12" s="522">
        <f t="shared" si="3"/>
        <v>0.75296215872023309</v>
      </c>
      <c r="R12" s="522">
        <f t="shared" si="3"/>
        <v>0.7411976369004275</v>
      </c>
      <c r="S12" s="522">
        <f t="shared" si="3"/>
        <v>0.73395658086466808</v>
      </c>
      <c r="T12" s="522">
        <f t="shared" si="3"/>
        <v>0.72681648283788658</v>
      </c>
      <c r="U12" s="522">
        <f t="shared" si="3"/>
        <v>0.72064033138443617</v>
      </c>
      <c r="V12" s="522">
        <f t="shared" si="3"/>
        <v>0.71144758231232075</v>
      </c>
      <c r="W12" s="522">
        <f t="shared" si="3"/>
        <v>0.70405839451607799</v>
      </c>
      <c r="X12" s="522">
        <f t="shared" si="3"/>
        <v>0.69764366724620275</v>
      </c>
      <c r="Y12" s="522">
        <f t="shared" si="3"/>
        <v>0.68495315071957408</v>
      </c>
      <c r="Z12" s="522">
        <f t="shared" si="3"/>
        <v>0.67407957827132892</v>
      </c>
      <c r="AA12" s="522">
        <f t="shared" si="3"/>
        <v>0.65865688209850548</v>
      </c>
      <c r="AB12" s="522">
        <f t="shared" si="3"/>
        <v>0.6516348907702032</v>
      </c>
      <c r="AC12" s="522">
        <f>(AC9+AC10)/(AC7+AC10)</f>
        <v>0.64680305369176083</v>
      </c>
      <c r="AD12" s="522">
        <f t="shared" si="3"/>
        <v>0.63645379552548054</v>
      </c>
      <c r="AE12" s="522">
        <f t="shared" si="3"/>
        <v>0.66598410954563281</v>
      </c>
      <c r="AF12" s="522">
        <f t="shared" si="3"/>
        <v>0.65203504130098089</v>
      </c>
      <c r="AG12" s="522">
        <f>(AG9+AG10)/(AG7+AG10)</f>
        <v>0.65064231457171717</v>
      </c>
      <c r="AH12" s="522">
        <f>(AH9+AH10)/(AH7+AH10)</f>
        <v>0.64356553933057881</v>
      </c>
      <c r="AI12" s="522">
        <f>ROUND((AI9+AI10)/(AI7+AI10),4)</f>
        <v>0.64380000000000004</v>
      </c>
      <c r="AJ12" s="522">
        <f t="shared" ref="AJ12:AS12" si="4">ROUND((AJ9+AJ10)/(AJ7+AJ10),4)</f>
        <v>0.64270000000000005</v>
      </c>
      <c r="AK12" s="522">
        <f t="shared" si="4"/>
        <v>0.64780000000000004</v>
      </c>
      <c r="AL12" s="522">
        <f t="shared" si="4"/>
        <v>0.64180000000000004</v>
      </c>
      <c r="AM12" s="522">
        <f t="shared" si="4"/>
        <v>0.63890000000000002</v>
      </c>
      <c r="AN12" s="522">
        <f t="shared" si="4"/>
        <v>0.63690000000000002</v>
      </c>
      <c r="AO12" s="522">
        <f t="shared" si="4"/>
        <v>0.63819999999999999</v>
      </c>
      <c r="AP12" s="522">
        <f t="shared" si="4"/>
        <v>0.63619999999999999</v>
      </c>
      <c r="AQ12" s="522">
        <f t="shared" si="4"/>
        <v>0.64400000000000002</v>
      </c>
      <c r="AR12" s="522">
        <f t="shared" si="4"/>
        <v>0.6421</v>
      </c>
      <c r="AS12" s="522">
        <f t="shared" si="4"/>
        <v>0.64259999999999995</v>
      </c>
      <c r="AT12" s="522">
        <f>ROUND((AT9+AT10)/(AT7+AT10),4)</f>
        <v>0.63139999999999996</v>
      </c>
      <c r="AU12" s="522">
        <f>ROUND((AU9+AU10)/(AU7+AU10),4)</f>
        <v>0.62880000000000003</v>
      </c>
      <c r="AV12" s="523">
        <f>ROUND((AV9+AV10)/(AV7+AV10),4)</f>
        <v>0.63549999999999995</v>
      </c>
      <c r="AW12" s="523">
        <f>ROUND((AW9+AW10)/(AW7+AW10),4)</f>
        <v>0.63800000000000001</v>
      </c>
      <c r="AX12" s="523">
        <v>0.63829999999999998</v>
      </c>
      <c r="AY12" s="523">
        <v>0.63690000000000002</v>
      </c>
      <c r="BA12" s="523">
        <v>0.63690000000000002</v>
      </c>
      <c r="BB12" s="523">
        <v>0.70889999999999997</v>
      </c>
      <c r="BC12" s="523">
        <v>0.7026</v>
      </c>
      <c r="BD12" s="523">
        <v>0.68659999999999999</v>
      </c>
      <c r="BE12" s="523">
        <v>0.68320000000000003</v>
      </c>
      <c r="BF12" s="523">
        <v>0.71409999999999996</v>
      </c>
      <c r="BG12" s="523">
        <f>ROUND((BG9+BG10)/(BG7+BG10),4)</f>
        <v>0.72199999999999998</v>
      </c>
      <c r="BH12" s="523">
        <v>0.72070000000000001</v>
      </c>
      <c r="BI12" s="523">
        <v>0.68059999999999998</v>
      </c>
      <c r="BJ12" s="523">
        <v>0.69910000000000005</v>
      </c>
      <c r="BK12" s="523">
        <v>0.70309999999999995</v>
      </c>
      <c r="BL12" s="523">
        <v>0.6714</v>
      </c>
      <c r="BM12" s="523">
        <v>0.68710000000000004</v>
      </c>
      <c r="BN12" s="523">
        <v>0.6946</v>
      </c>
      <c r="BO12" s="523">
        <v>0.67390000000000005</v>
      </c>
      <c r="BP12" s="523">
        <v>0.69320000000000004</v>
      </c>
      <c r="BQ12" s="523">
        <v>0.70689999999999997</v>
      </c>
      <c r="BR12" s="523">
        <v>0.76280000000000003</v>
      </c>
      <c r="BS12" s="523">
        <v>0.77380000000000004</v>
      </c>
      <c r="BT12" s="523">
        <v>0.79110000000000003</v>
      </c>
      <c r="BU12" s="523">
        <v>0.81100000000000005</v>
      </c>
      <c r="BV12" s="523">
        <v>0.78539999999999999</v>
      </c>
      <c r="BW12" s="523">
        <v>0.81620000000000004</v>
      </c>
      <c r="BX12" s="523">
        <v>0.82520000000000004</v>
      </c>
      <c r="BY12" s="523">
        <v>0.80149999999999999</v>
      </c>
      <c r="BZ12" s="523">
        <v>0.74360000000000004</v>
      </c>
      <c r="CA12" s="523">
        <v>0.74209999999999998</v>
      </c>
      <c r="CB12" s="523">
        <v>0.71530000000000005</v>
      </c>
      <c r="CC12" s="523">
        <v>0.68579999999999997</v>
      </c>
      <c r="CD12" s="523">
        <v>0.7752</v>
      </c>
      <c r="CE12" s="523">
        <v>0.75700000000000001</v>
      </c>
      <c r="CF12" s="523">
        <v>0.75560000000000005</v>
      </c>
      <c r="CG12" s="523">
        <v>0.73850000000000005</v>
      </c>
      <c r="CH12" s="523">
        <v>0.72470000000000001</v>
      </c>
      <c r="CI12" s="523">
        <v>0.72660000000000002</v>
      </c>
    </row>
    <row r="13" spans="1:87" ht="7.5" customHeight="1">
      <c r="B13" s="502"/>
      <c r="C13" s="513"/>
      <c r="D13" s="513"/>
      <c r="E13" s="513"/>
      <c r="F13" s="513"/>
      <c r="G13" s="513"/>
      <c r="H13" s="513"/>
      <c r="I13" s="513"/>
      <c r="J13" s="513"/>
      <c r="K13" s="513"/>
      <c r="L13" s="513"/>
      <c r="M13" s="513"/>
      <c r="N13" s="513"/>
      <c r="O13" s="513"/>
      <c r="P13" s="513"/>
      <c r="Q13" s="513"/>
      <c r="R13" s="513"/>
      <c r="S13" s="513"/>
      <c r="T13" s="513"/>
      <c r="U13" s="513"/>
      <c r="V13" s="513"/>
      <c r="W13" s="513"/>
      <c r="X13" s="513"/>
      <c r="Y13" s="513"/>
      <c r="Z13" s="513"/>
      <c r="AA13" s="513"/>
      <c r="AB13" s="513"/>
      <c r="AC13" s="513"/>
      <c r="AD13" s="513"/>
      <c r="AE13" s="513"/>
      <c r="AF13" s="513"/>
      <c r="AG13" s="513"/>
      <c r="AH13" s="513"/>
      <c r="AI13" s="513"/>
      <c r="AJ13" s="513"/>
      <c r="AK13" s="513"/>
      <c r="AL13" s="513"/>
      <c r="AM13" s="513"/>
      <c r="AN13" s="513"/>
      <c r="AO13" s="513"/>
      <c r="AP13" s="513"/>
      <c r="AQ13" s="513"/>
      <c r="AR13" s="513"/>
      <c r="AS13" s="513"/>
      <c r="AT13" s="513"/>
      <c r="AU13" s="513"/>
      <c r="BA13" s="514"/>
      <c r="BB13" s="514"/>
      <c r="BC13" s="514"/>
      <c r="BD13" s="514"/>
      <c r="BE13" s="514"/>
      <c r="BF13" s="514"/>
      <c r="BG13" s="514"/>
      <c r="BH13" s="514"/>
      <c r="BI13" s="514"/>
      <c r="BJ13" s="514"/>
      <c r="BK13" s="514"/>
      <c r="BL13" s="514"/>
      <c r="BM13" s="514"/>
      <c r="BN13" s="514"/>
      <c r="BO13" s="514"/>
      <c r="BP13" s="514"/>
      <c r="BQ13" s="514"/>
      <c r="BR13" s="514"/>
      <c r="BS13" s="514"/>
      <c r="BT13" s="514"/>
      <c r="BU13" s="514"/>
      <c r="BV13" s="514"/>
      <c r="BW13" s="514"/>
      <c r="BX13" s="514"/>
      <c r="BY13" s="514"/>
      <c r="BZ13" s="514"/>
      <c r="CA13" s="514"/>
      <c r="CB13" s="514"/>
      <c r="CC13" s="514"/>
      <c r="CD13" s="514"/>
      <c r="CE13" s="514"/>
      <c r="CF13" s="514"/>
      <c r="CG13" s="514"/>
      <c r="CH13" s="514"/>
      <c r="CI13" s="514"/>
    </row>
    <row r="14" spans="1:87">
      <c r="A14" s="512" t="s">
        <v>600</v>
      </c>
      <c r="B14" s="502"/>
      <c r="C14" s="513"/>
      <c r="D14" s="513"/>
      <c r="E14" s="513"/>
      <c r="F14" s="513"/>
      <c r="G14" s="513"/>
      <c r="H14" s="513"/>
      <c r="I14" s="513"/>
      <c r="J14" s="513"/>
      <c r="K14" s="513"/>
      <c r="L14" s="513"/>
      <c r="M14" s="513"/>
      <c r="N14" s="513"/>
      <c r="O14" s="513"/>
      <c r="P14" s="513"/>
      <c r="Q14" s="513"/>
      <c r="R14" s="513"/>
      <c r="S14" s="513"/>
      <c r="T14" s="513"/>
      <c r="U14" s="513"/>
      <c r="V14" s="513"/>
      <c r="W14" s="513"/>
      <c r="X14" s="513"/>
      <c r="Y14" s="513"/>
      <c r="Z14" s="513"/>
      <c r="AA14" s="513"/>
      <c r="AB14" s="513"/>
      <c r="AC14" s="513"/>
      <c r="AD14" s="513"/>
      <c r="AE14" s="513"/>
      <c r="AF14" s="513"/>
      <c r="AG14" s="513"/>
      <c r="AH14" s="513"/>
      <c r="AI14" s="513"/>
      <c r="AJ14" s="513"/>
      <c r="AK14" s="513"/>
      <c r="AL14" s="513"/>
      <c r="AM14" s="513"/>
      <c r="AN14" s="513"/>
      <c r="AO14" s="513"/>
      <c r="AP14" s="513"/>
      <c r="AQ14" s="513"/>
      <c r="AR14" s="513"/>
      <c r="AS14" s="513"/>
      <c r="AT14" s="513"/>
      <c r="AU14" s="513"/>
      <c r="BA14" s="514"/>
      <c r="BB14" s="514"/>
      <c r="BC14" s="514"/>
      <c r="BD14" s="514"/>
      <c r="BE14" s="514"/>
      <c r="BF14" s="514"/>
      <c r="BG14" s="514"/>
      <c r="BH14" s="514"/>
      <c r="BI14" s="514"/>
      <c r="BJ14" s="514"/>
      <c r="BK14" s="514"/>
      <c r="BL14" s="514"/>
      <c r="BM14" s="514"/>
      <c r="BN14" s="514"/>
      <c r="BO14" s="514"/>
      <c r="BP14" s="514"/>
      <c r="BQ14" s="514"/>
      <c r="BR14" s="514"/>
      <c r="BS14" s="514"/>
      <c r="BT14" s="514"/>
      <c r="BU14" s="514"/>
      <c r="BV14" s="514"/>
      <c r="BW14" s="514"/>
      <c r="BX14" s="514"/>
      <c r="BY14" s="514"/>
      <c r="BZ14" s="514"/>
      <c r="CA14" s="514"/>
      <c r="CB14" s="514"/>
      <c r="CC14" s="514"/>
      <c r="CD14" s="514"/>
      <c r="CE14" s="514"/>
      <c r="CF14" s="514"/>
      <c r="CG14" s="514"/>
      <c r="CH14" s="514"/>
      <c r="CI14" s="514"/>
    </row>
    <row r="15" spans="1:87">
      <c r="B15" s="502" t="s">
        <v>254</v>
      </c>
      <c r="C15" s="513">
        <v>732643</v>
      </c>
      <c r="D15" s="513">
        <v>749846</v>
      </c>
      <c r="E15" s="513">
        <v>719665</v>
      </c>
      <c r="F15" s="513">
        <v>767771</v>
      </c>
      <c r="G15" s="513">
        <v>689752</v>
      </c>
      <c r="H15" s="513">
        <v>705371</v>
      </c>
      <c r="I15" s="513">
        <v>726881</v>
      </c>
      <c r="J15" s="513">
        <v>744322</v>
      </c>
      <c r="K15" s="513">
        <v>768775</v>
      </c>
      <c r="L15" s="513">
        <v>835465</v>
      </c>
      <c r="M15" s="513">
        <v>885392</v>
      </c>
      <c r="N15" s="513">
        <v>946132</v>
      </c>
      <c r="O15" s="513">
        <v>1041353</v>
      </c>
      <c r="P15" s="513">
        <v>1486692</v>
      </c>
      <c r="Q15" s="513">
        <v>1957463</v>
      </c>
      <c r="R15" s="513">
        <v>2037118</v>
      </c>
      <c r="S15" s="513">
        <v>2269007</v>
      </c>
      <c r="T15" s="513">
        <v>2317219</v>
      </c>
      <c r="U15" s="513">
        <v>2406355</v>
      </c>
      <c r="V15" s="513">
        <v>2445340</v>
      </c>
      <c r="W15" s="513">
        <v>2381902</v>
      </c>
      <c r="X15" s="513">
        <v>2598545</v>
      </c>
      <c r="Y15" s="513">
        <v>2649855</v>
      </c>
      <c r="Z15" s="513">
        <v>2873090</v>
      </c>
      <c r="AA15" s="513">
        <v>2919620.2</v>
      </c>
      <c r="AB15" s="513">
        <v>3209537</v>
      </c>
      <c r="AC15" s="513">
        <v>3415912</v>
      </c>
      <c r="AD15" s="513">
        <v>3545357</v>
      </c>
      <c r="AE15" s="513">
        <v>3603448</v>
      </c>
      <c r="AF15" s="513">
        <v>3491155</v>
      </c>
      <c r="AG15" s="513">
        <v>4230058</v>
      </c>
      <c r="AH15" s="513">
        <v>4258506</v>
      </c>
      <c r="AI15" s="513">
        <v>4343887</v>
      </c>
      <c r="AJ15" s="513">
        <v>4451832</v>
      </c>
      <c r="AK15" s="513">
        <v>4397488</v>
      </c>
      <c r="AL15" s="513">
        <v>4435023</v>
      </c>
      <c r="AM15" s="513">
        <v>4301749</v>
      </c>
      <c r="AN15" s="513">
        <v>4336165</v>
      </c>
      <c r="AO15" s="513">
        <v>4149706</v>
      </c>
      <c r="AP15" s="513">
        <v>4165467</v>
      </c>
      <c r="AQ15" s="513">
        <v>4002044</v>
      </c>
      <c r="AR15" s="513">
        <v>4045997</v>
      </c>
      <c r="AS15" s="513">
        <v>4030749</v>
      </c>
      <c r="AT15" s="513">
        <v>4102541</v>
      </c>
      <c r="AU15" s="513">
        <v>3976794</v>
      </c>
      <c r="AV15" s="514">
        <v>3856087</v>
      </c>
      <c r="AW15" s="514">
        <v>3715597</v>
      </c>
      <c r="AX15" s="514">
        <v>3575721</v>
      </c>
      <c r="AY15" s="514">
        <v>3318267</v>
      </c>
      <c r="BA15" s="514">
        <v>3317327</v>
      </c>
      <c r="BB15" s="514">
        <v>3317327</v>
      </c>
      <c r="BC15" s="514">
        <v>3189910</v>
      </c>
      <c r="BD15" s="514">
        <v>2846565</v>
      </c>
      <c r="BE15" s="514">
        <v>2867143</v>
      </c>
      <c r="BF15" s="514">
        <v>2638374</v>
      </c>
      <c r="BG15" s="514">
        <v>2562006</v>
      </c>
      <c r="BH15" s="514">
        <v>2525551</v>
      </c>
      <c r="BI15" s="514">
        <v>2920047</v>
      </c>
      <c r="BJ15" s="514">
        <v>2478777</v>
      </c>
      <c r="BK15" s="514">
        <v>2462503</v>
      </c>
      <c r="BL15" s="514">
        <v>2404825</v>
      </c>
      <c r="BM15" s="514">
        <v>2355582</v>
      </c>
      <c r="BN15" s="514">
        <v>2125247</v>
      </c>
      <c r="BO15" s="514">
        <v>2279736</v>
      </c>
      <c r="BP15" s="514">
        <v>1993902</v>
      </c>
      <c r="BQ15" s="514">
        <v>1873152</v>
      </c>
      <c r="BR15" s="514">
        <v>1882991</v>
      </c>
      <c r="BS15" s="514">
        <v>1892325</v>
      </c>
      <c r="BT15" s="514">
        <v>1943956</v>
      </c>
      <c r="BU15" s="514">
        <v>1870981</v>
      </c>
      <c r="BV15" s="514">
        <v>1871880</v>
      </c>
      <c r="BW15" s="514">
        <v>1872054</v>
      </c>
      <c r="BX15" s="514">
        <v>1276799</v>
      </c>
      <c r="BY15" s="514">
        <v>1336956</v>
      </c>
      <c r="BZ15" s="514">
        <v>1353554</v>
      </c>
      <c r="CA15" s="514">
        <v>1462753</v>
      </c>
      <c r="CB15" s="514">
        <v>1652826</v>
      </c>
      <c r="CC15" s="514">
        <v>1644221</v>
      </c>
      <c r="CD15" s="514">
        <v>1572971</v>
      </c>
      <c r="CE15" s="514">
        <v>1689070</v>
      </c>
      <c r="CF15" s="514">
        <v>1612938</v>
      </c>
      <c r="CG15" s="514">
        <v>2021714</v>
      </c>
      <c r="CH15" s="514">
        <v>1959136</v>
      </c>
      <c r="CI15" s="514">
        <v>1986584</v>
      </c>
    </row>
    <row r="16" spans="1:87">
      <c r="B16" s="502" t="s">
        <v>255</v>
      </c>
      <c r="C16" s="513">
        <v>552967</v>
      </c>
      <c r="D16" s="513">
        <v>573811</v>
      </c>
      <c r="E16" s="513">
        <v>544332</v>
      </c>
      <c r="F16" s="513">
        <v>585221</v>
      </c>
      <c r="G16" s="513">
        <v>538605</v>
      </c>
      <c r="H16" s="513">
        <v>546101</v>
      </c>
      <c r="I16" s="513">
        <v>562380</v>
      </c>
      <c r="J16" s="513">
        <v>584171</v>
      </c>
      <c r="K16" s="513">
        <v>607969</v>
      </c>
      <c r="L16" s="513">
        <v>672214</v>
      </c>
      <c r="M16" s="513">
        <v>707907</v>
      </c>
      <c r="N16" s="513">
        <v>763386</v>
      </c>
      <c r="O16" s="513">
        <v>816699</v>
      </c>
      <c r="P16" s="513">
        <v>1155941</v>
      </c>
      <c r="Q16" s="513">
        <v>1516917</v>
      </c>
      <c r="R16" s="513">
        <v>1603671</v>
      </c>
      <c r="S16" s="513">
        <v>1802260</v>
      </c>
      <c r="T16" s="513">
        <v>1897558</v>
      </c>
      <c r="U16" s="513">
        <v>1981062</v>
      </c>
      <c r="V16" s="513">
        <v>2035159</v>
      </c>
      <c r="W16" s="513">
        <v>1993261</v>
      </c>
      <c r="X16" s="513">
        <v>2181117</v>
      </c>
      <c r="Y16" s="513">
        <v>2215407</v>
      </c>
      <c r="Z16" s="513">
        <v>2413320</v>
      </c>
      <c r="AA16" s="513">
        <v>2463096.2000000002</v>
      </c>
      <c r="AB16" s="513">
        <v>2726354</v>
      </c>
      <c r="AC16" s="513">
        <v>2892205</v>
      </c>
      <c r="AD16" s="513">
        <v>3023648</v>
      </c>
      <c r="AE16" s="513">
        <v>2894880</v>
      </c>
      <c r="AF16" s="513">
        <v>2900955</v>
      </c>
      <c r="AG16" s="513">
        <v>3514924</v>
      </c>
      <c r="AH16" s="513">
        <v>3554255</v>
      </c>
      <c r="AI16" s="513">
        <v>3576772</v>
      </c>
      <c r="AJ16" s="513">
        <v>3629606</v>
      </c>
      <c r="AK16" s="513">
        <v>3583284</v>
      </c>
      <c r="AL16" s="513">
        <v>3613972</v>
      </c>
      <c r="AM16" s="513">
        <v>3515490</v>
      </c>
      <c r="AN16" s="513">
        <v>3503913</v>
      </c>
      <c r="AO16" s="513">
        <v>3314406</v>
      </c>
      <c r="AP16" s="513">
        <v>3301549</v>
      </c>
      <c r="AQ16" s="513">
        <v>3126205</v>
      </c>
      <c r="AR16" s="513">
        <v>3153089</v>
      </c>
      <c r="AS16" s="513">
        <v>3139759</v>
      </c>
      <c r="AT16" s="513">
        <v>3190029</v>
      </c>
      <c r="AU16" s="513">
        <v>3042719</v>
      </c>
      <c r="AV16" s="514">
        <v>2923029</v>
      </c>
      <c r="AW16" s="514">
        <v>2735415</v>
      </c>
      <c r="AX16" s="514">
        <v>2622238</v>
      </c>
      <c r="AY16" s="514">
        <v>2416300</v>
      </c>
      <c r="BA16" s="514">
        <v>2415360</v>
      </c>
      <c r="BB16" s="514">
        <v>1872785</v>
      </c>
      <c r="BC16" s="514">
        <v>1918245</v>
      </c>
      <c r="BD16" s="514">
        <v>1652710</v>
      </c>
      <c r="BE16" s="514">
        <v>1657569</v>
      </c>
      <c r="BF16" s="514">
        <v>1695789</v>
      </c>
      <c r="BG16" s="514">
        <v>1680339</v>
      </c>
      <c r="BH16" s="514">
        <v>1634737</v>
      </c>
      <c r="BI16" s="514">
        <v>1832934</v>
      </c>
      <c r="BJ16" s="514">
        <v>1660546</v>
      </c>
      <c r="BK16" s="514">
        <v>1626388</v>
      </c>
      <c r="BL16" s="514">
        <v>1563881</v>
      </c>
      <c r="BM16" s="514">
        <v>1487574</v>
      </c>
      <c r="BN16" s="514">
        <v>1293853</v>
      </c>
      <c r="BO16" s="514">
        <v>1317301</v>
      </c>
      <c r="BP16" s="514">
        <v>1135369</v>
      </c>
      <c r="BQ16" s="514">
        <v>965620</v>
      </c>
      <c r="BR16" s="514">
        <v>934033</v>
      </c>
      <c r="BS16" s="514">
        <v>965848</v>
      </c>
      <c r="BT16" s="514">
        <v>1038353</v>
      </c>
      <c r="BU16" s="514">
        <v>986055</v>
      </c>
      <c r="BV16" s="514">
        <v>955101</v>
      </c>
      <c r="BW16" s="514">
        <v>874750</v>
      </c>
      <c r="BX16" s="514">
        <v>673785</v>
      </c>
      <c r="BY16" s="514">
        <v>709412</v>
      </c>
      <c r="BZ16" s="514">
        <v>714865</v>
      </c>
      <c r="CA16" s="514">
        <v>738802</v>
      </c>
      <c r="CB16" s="514">
        <v>850148</v>
      </c>
      <c r="CC16" s="514">
        <v>805601</v>
      </c>
      <c r="CD16" s="514">
        <v>805281</v>
      </c>
      <c r="CE16" s="514">
        <v>866334</v>
      </c>
      <c r="CF16" s="514">
        <v>809806</v>
      </c>
      <c r="CG16" s="514">
        <v>1117438</v>
      </c>
      <c r="CH16" s="514">
        <v>1006380</v>
      </c>
      <c r="CI16" s="514">
        <v>1037854</v>
      </c>
    </row>
    <row r="17" spans="1:87">
      <c r="B17" s="502" t="s">
        <v>256</v>
      </c>
      <c r="C17" s="513">
        <f>+C15-C16</f>
        <v>179676</v>
      </c>
      <c r="D17" s="513">
        <f>+D15-D16</f>
        <v>176035</v>
      </c>
      <c r="E17" s="513">
        <f>+E15-E16</f>
        <v>175333</v>
      </c>
      <c r="F17" s="513">
        <f>+F15-F16</f>
        <v>182550</v>
      </c>
      <c r="G17" s="513">
        <f t="shared" ref="G17:AM17" si="5">+G15-G16</f>
        <v>151147</v>
      </c>
      <c r="H17" s="513">
        <f t="shared" si="5"/>
        <v>159270</v>
      </c>
      <c r="I17" s="513">
        <f>+I15-I16</f>
        <v>164501</v>
      </c>
      <c r="J17" s="513">
        <f t="shared" si="5"/>
        <v>160151</v>
      </c>
      <c r="K17" s="513">
        <f t="shared" si="5"/>
        <v>160806</v>
      </c>
      <c r="L17" s="513">
        <f t="shared" si="5"/>
        <v>163251</v>
      </c>
      <c r="M17" s="513">
        <f t="shared" si="5"/>
        <v>177485</v>
      </c>
      <c r="N17" s="513">
        <f t="shared" si="5"/>
        <v>182746</v>
      </c>
      <c r="O17" s="513">
        <f t="shared" si="5"/>
        <v>224654</v>
      </c>
      <c r="P17" s="513">
        <f t="shared" si="5"/>
        <v>330751</v>
      </c>
      <c r="Q17" s="513">
        <f t="shared" si="5"/>
        <v>440546</v>
      </c>
      <c r="R17" s="513">
        <f t="shared" si="5"/>
        <v>433447</v>
      </c>
      <c r="S17" s="513">
        <f t="shared" si="5"/>
        <v>466747</v>
      </c>
      <c r="T17" s="513">
        <f t="shared" si="5"/>
        <v>419661</v>
      </c>
      <c r="U17" s="513">
        <f t="shared" si="5"/>
        <v>425293</v>
      </c>
      <c r="V17" s="513">
        <f t="shared" si="5"/>
        <v>410181</v>
      </c>
      <c r="W17" s="513">
        <f t="shared" si="5"/>
        <v>388641</v>
      </c>
      <c r="X17" s="513">
        <f t="shared" si="5"/>
        <v>417428</v>
      </c>
      <c r="Y17" s="513">
        <f t="shared" si="5"/>
        <v>434448</v>
      </c>
      <c r="Z17" s="513">
        <f>+Z15-Z16</f>
        <v>459770</v>
      </c>
      <c r="AA17" s="513">
        <f t="shared" si="5"/>
        <v>456524</v>
      </c>
      <c r="AB17" s="513">
        <f>+AB15-AB16</f>
        <v>483183</v>
      </c>
      <c r="AC17" s="513">
        <f t="shared" si="5"/>
        <v>523707</v>
      </c>
      <c r="AD17" s="513">
        <f t="shared" si="5"/>
        <v>521709</v>
      </c>
      <c r="AE17" s="513">
        <f t="shared" si="5"/>
        <v>708568</v>
      </c>
      <c r="AF17" s="513">
        <f t="shared" si="5"/>
        <v>590200</v>
      </c>
      <c r="AG17" s="513">
        <f t="shared" si="5"/>
        <v>715134</v>
      </c>
      <c r="AH17" s="513">
        <f t="shared" si="5"/>
        <v>704251</v>
      </c>
      <c r="AI17" s="513">
        <f t="shared" si="5"/>
        <v>767115</v>
      </c>
      <c r="AJ17" s="513">
        <f t="shared" si="5"/>
        <v>822226</v>
      </c>
      <c r="AK17" s="513">
        <f t="shared" si="5"/>
        <v>814204</v>
      </c>
      <c r="AL17" s="513">
        <f t="shared" si="5"/>
        <v>821051</v>
      </c>
      <c r="AM17" s="513">
        <f t="shared" si="5"/>
        <v>786259</v>
      </c>
      <c r="AN17" s="513">
        <f t="shared" ref="AN17:AV17" si="6">+AN15-AN16</f>
        <v>832252</v>
      </c>
      <c r="AO17" s="513">
        <f t="shared" si="6"/>
        <v>835300</v>
      </c>
      <c r="AP17" s="513">
        <f t="shared" si="6"/>
        <v>863918</v>
      </c>
      <c r="AQ17" s="513">
        <f t="shared" si="6"/>
        <v>875839</v>
      </c>
      <c r="AR17" s="513">
        <f t="shared" si="6"/>
        <v>892908</v>
      </c>
      <c r="AS17" s="513">
        <f t="shared" si="6"/>
        <v>890990</v>
      </c>
      <c r="AT17" s="513">
        <f t="shared" si="6"/>
        <v>912512</v>
      </c>
      <c r="AU17" s="513">
        <f t="shared" si="6"/>
        <v>934075</v>
      </c>
      <c r="AV17" s="514">
        <f t="shared" si="6"/>
        <v>933058</v>
      </c>
      <c r="AW17" s="514">
        <v>980182</v>
      </c>
      <c r="AX17" s="514">
        <v>953483</v>
      </c>
      <c r="AY17" s="514">
        <v>901967</v>
      </c>
      <c r="BA17" s="514">
        <v>901967</v>
      </c>
      <c r="BB17" s="514">
        <v>1444542</v>
      </c>
      <c r="BC17" s="514">
        <v>1271665</v>
      </c>
      <c r="BD17" s="514">
        <v>1193855</v>
      </c>
      <c r="BE17" s="514">
        <v>1209574</v>
      </c>
      <c r="BF17" s="514">
        <v>942585</v>
      </c>
      <c r="BG17" s="514">
        <v>881667</v>
      </c>
      <c r="BH17" s="514">
        <v>890814</v>
      </c>
      <c r="BI17" s="514">
        <v>1087113</v>
      </c>
      <c r="BJ17" s="514">
        <v>818231</v>
      </c>
      <c r="BK17" s="514">
        <v>836115</v>
      </c>
      <c r="BL17" s="514">
        <v>840944</v>
      </c>
      <c r="BM17" s="514">
        <v>868008</v>
      </c>
      <c r="BN17" s="514">
        <v>831394</v>
      </c>
      <c r="BO17" s="514">
        <v>962435</v>
      </c>
      <c r="BP17" s="514">
        <v>858533</v>
      </c>
      <c r="BQ17" s="514">
        <v>907532</v>
      </c>
      <c r="BR17" s="514">
        <v>948958</v>
      </c>
      <c r="BS17" s="514">
        <v>926477</v>
      </c>
      <c r="BT17" s="514">
        <v>905603</v>
      </c>
      <c r="BU17" s="514">
        <v>884926</v>
      </c>
      <c r="BV17" s="514">
        <v>916779</v>
      </c>
      <c r="BW17" s="514">
        <v>997304</v>
      </c>
      <c r="BX17" s="514">
        <v>603014</v>
      </c>
      <c r="BY17" s="514">
        <v>627544</v>
      </c>
      <c r="BZ17" s="514">
        <v>638689</v>
      </c>
      <c r="CA17" s="514">
        <v>723951</v>
      </c>
      <c r="CB17" s="514">
        <v>802678</v>
      </c>
      <c r="CC17" s="514">
        <v>838620</v>
      </c>
      <c r="CD17" s="514">
        <v>767690</v>
      </c>
      <c r="CE17" s="514">
        <v>822736</v>
      </c>
      <c r="CF17" s="514">
        <v>803132</v>
      </c>
      <c r="CG17" s="514">
        <v>904276</v>
      </c>
      <c r="CH17" s="514">
        <v>952756</v>
      </c>
      <c r="CI17" s="514">
        <v>948730</v>
      </c>
    </row>
    <row r="18" spans="1:87" s="512" customFormat="1" ht="17.25" thickBot="1">
      <c r="A18" s="516"/>
      <c r="B18" s="517" t="s">
        <v>258</v>
      </c>
      <c r="C18" s="518">
        <f>+C17/C15</f>
        <v>0.24524359067103624</v>
      </c>
      <c r="D18" s="518">
        <f t="shared" ref="D18:AD18" si="7">+D17/D15</f>
        <v>0.23476153770240824</v>
      </c>
      <c r="E18" s="518">
        <f t="shared" si="7"/>
        <v>0.24363141183745216</v>
      </c>
      <c r="F18" s="518">
        <f t="shared" si="7"/>
        <v>0.23776620893469538</v>
      </c>
      <c r="G18" s="518">
        <f t="shared" si="7"/>
        <v>0.2191323838133126</v>
      </c>
      <c r="H18" s="518">
        <f t="shared" si="7"/>
        <v>0.22579607043669217</v>
      </c>
      <c r="I18" s="518">
        <f t="shared" si="7"/>
        <v>0.22631077163937427</v>
      </c>
      <c r="J18" s="518">
        <f t="shared" si="7"/>
        <v>0.21516359855008987</v>
      </c>
      <c r="K18" s="518">
        <f t="shared" si="7"/>
        <v>0.20917173425254462</v>
      </c>
      <c r="L18" s="518">
        <f t="shared" si="7"/>
        <v>0.19540136331264626</v>
      </c>
      <c r="M18" s="518">
        <f t="shared" si="7"/>
        <v>0.20045923161718199</v>
      </c>
      <c r="N18" s="518">
        <f t="shared" si="7"/>
        <v>0.19315063860011078</v>
      </c>
      <c r="O18" s="518">
        <f t="shared" si="7"/>
        <v>0.21573280146117599</v>
      </c>
      <c r="P18" s="518">
        <f t="shared" si="7"/>
        <v>0.22247446007646507</v>
      </c>
      <c r="Q18" s="518">
        <f t="shared" si="7"/>
        <v>0.22505968184328387</v>
      </c>
      <c r="R18" s="518">
        <f t="shared" si="7"/>
        <v>0.2127746159034479</v>
      </c>
      <c r="S18" s="518">
        <f t="shared" si="7"/>
        <v>0.20570540328875142</v>
      </c>
      <c r="T18" s="518">
        <f t="shared" si="7"/>
        <v>0.18110545442618933</v>
      </c>
      <c r="U18" s="518">
        <f t="shared" si="7"/>
        <v>0.17673743067834963</v>
      </c>
      <c r="V18" s="518">
        <f t="shared" si="7"/>
        <v>0.16773986439513525</v>
      </c>
      <c r="W18" s="518">
        <f t="shared" si="7"/>
        <v>0.16316414361296142</v>
      </c>
      <c r="X18" s="518">
        <f t="shared" si="7"/>
        <v>0.16063912689601295</v>
      </c>
      <c r="Y18" s="518">
        <f t="shared" si="7"/>
        <v>0.16395161244671877</v>
      </c>
      <c r="Z18" s="518">
        <f t="shared" si="7"/>
        <v>0.16002631313324678</v>
      </c>
      <c r="AA18" s="518">
        <f t="shared" si="7"/>
        <v>0.15636417366889022</v>
      </c>
      <c r="AB18" s="518">
        <f t="shared" si="7"/>
        <v>0.15054601333463363</v>
      </c>
      <c r="AC18" s="518">
        <f>+AC17/AC15</f>
        <v>0.15331396124958724</v>
      </c>
      <c r="AD18" s="518">
        <f t="shared" si="7"/>
        <v>0.1471527408946405</v>
      </c>
      <c r="AE18" s="518">
        <f>+AE17/AE15</f>
        <v>0.19663611074726206</v>
      </c>
      <c r="AF18" s="518">
        <f>AF17/AF15</f>
        <v>0.16905579958495112</v>
      </c>
      <c r="AG18" s="518">
        <f>+AG17/AG15</f>
        <v>0.16906009326586066</v>
      </c>
      <c r="AH18" s="518">
        <f>+AH17/AH15</f>
        <v>0.16537513390846462</v>
      </c>
      <c r="AI18" s="518">
        <f>ROUND(+AI17/AI15,4)</f>
        <v>0.17660000000000001</v>
      </c>
      <c r="AJ18" s="518">
        <f t="shared" ref="AJ18:AL18" si="8">ROUND(+AJ17/AJ15,4)</f>
        <v>0.1847</v>
      </c>
      <c r="AK18" s="518">
        <f t="shared" si="8"/>
        <v>0.1852</v>
      </c>
      <c r="AL18" s="518">
        <f t="shared" si="8"/>
        <v>0.18509999999999999</v>
      </c>
      <c r="AM18" s="518">
        <f>ROUND(+AM17/AM15,4)</f>
        <v>0.18279999999999999</v>
      </c>
      <c r="AN18" s="518">
        <f t="shared" ref="AN18:AQ18" si="9">ROUND(+AN17/AN15,4)</f>
        <v>0.19189999999999999</v>
      </c>
      <c r="AO18" s="518">
        <f t="shared" si="9"/>
        <v>0.20130000000000001</v>
      </c>
      <c r="AP18" s="518">
        <f t="shared" si="9"/>
        <v>0.2074</v>
      </c>
      <c r="AQ18" s="518">
        <f t="shared" si="9"/>
        <v>0.21879999999999999</v>
      </c>
      <c r="AR18" s="518">
        <f t="shared" ref="AR18:AW18" si="10">ROUND(+AR17/AR15,4)</f>
        <v>0.22070000000000001</v>
      </c>
      <c r="AS18" s="518">
        <f t="shared" si="10"/>
        <v>0.221</v>
      </c>
      <c r="AT18" s="518">
        <f t="shared" si="10"/>
        <v>0.22239999999999999</v>
      </c>
      <c r="AU18" s="518">
        <f t="shared" si="10"/>
        <v>0.2349</v>
      </c>
      <c r="AV18" s="519">
        <f t="shared" si="10"/>
        <v>0.24199999999999999</v>
      </c>
      <c r="AW18" s="519">
        <f t="shared" si="10"/>
        <v>0.26379999999999998</v>
      </c>
      <c r="AX18" s="519">
        <v>0.26669999999999999</v>
      </c>
      <c r="AY18" s="519">
        <v>0.27179999999999999</v>
      </c>
      <c r="BA18" s="519">
        <v>0.27189999999999998</v>
      </c>
      <c r="BB18" s="519">
        <v>0.4355</v>
      </c>
      <c r="BC18" s="519">
        <v>0.3987</v>
      </c>
      <c r="BD18" s="519">
        <v>0.4194</v>
      </c>
      <c r="BE18" s="519">
        <v>0.4219</v>
      </c>
      <c r="BF18" s="519">
        <v>0.35730000000000001</v>
      </c>
      <c r="BG18" s="519">
        <f>ROUND(+BG17/BG15,4)</f>
        <v>0.34410000000000002</v>
      </c>
      <c r="BH18" s="519">
        <v>0.35270000000000001</v>
      </c>
      <c r="BI18" s="519">
        <v>0.37230000000000002</v>
      </c>
      <c r="BJ18" s="519">
        <v>0.3301</v>
      </c>
      <c r="BK18" s="519">
        <v>0.33950000000000002</v>
      </c>
      <c r="BL18" s="519">
        <v>0.34970000000000001</v>
      </c>
      <c r="BM18" s="519">
        <v>0.36849999999999999</v>
      </c>
      <c r="BN18" s="519">
        <v>0.39119999999999999</v>
      </c>
      <c r="BO18" s="519">
        <v>0.42220000000000002</v>
      </c>
      <c r="BP18" s="519">
        <v>0.43059999999999998</v>
      </c>
      <c r="BQ18" s="519">
        <v>0.48449999999999999</v>
      </c>
      <c r="BR18" s="519">
        <v>0.504</v>
      </c>
      <c r="BS18" s="519">
        <v>0.48959999999999998</v>
      </c>
      <c r="BT18" s="519">
        <v>0.46589999999999998</v>
      </c>
      <c r="BU18" s="519">
        <v>0.47299999999999998</v>
      </c>
      <c r="BV18" s="519">
        <v>0.48980000000000001</v>
      </c>
      <c r="BW18" s="519">
        <v>0.53269999999999995</v>
      </c>
      <c r="BX18" s="519">
        <v>0.4723</v>
      </c>
      <c r="BY18" s="519">
        <v>0.46939999999999998</v>
      </c>
      <c r="BZ18" s="519">
        <v>0.47189999999999999</v>
      </c>
      <c r="CA18" s="519">
        <v>0.49490000000000001</v>
      </c>
      <c r="CB18" s="519">
        <v>0.48559999999999998</v>
      </c>
      <c r="CC18" s="519">
        <v>0.51</v>
      </c>
      <c r="CD18" s="519">
        <v>0.48809999999999998</v>
      </c>
      <c r="CE18" s="519">
        <v>0.48709999999999998</v>
      </c>
      <c r="CF18" s="519">
        <v>0.49790000000000001</v>
      </c>
      <c r="CG18" s="519">
        <v>0.44729999999999998</v>
      </c>
      <c r="CH18" s="519">
        <v>0.48630000000000001</v>
      </c>
      <c r="CI18" s="519">
        <v>0.47760000000000002</v>
      </c>
    </row>
    <row r="19" spans="1:87" ht="6" customHeight="1">
      <c r="B19" s="502"/>
      <c r="C19" s="513"/>
      <c r="D19" s="513"/>
      <c r="E19" s="513"/>
      <c r="F19" s="513"/>
      <c r="G19" s="513"/>
      <c r="H19" s="513"/>
      <c r="I19" s="513"/>
      <c r="J19" s="513"/>
      <c r="K19" s="513"/>
      <c r="L19" s="513"/>
      <c r="M19" s="513"/>
      <c r="N19" s="513"/>
      <c r="O19" s="513"/>
      <c r="P19" s="513"/>
      <c r="Q19" s="513"/>
      <c r="R19" s="513"/>
      <c r="S19" s="513"/>
      <c r="T19" s="513"/>
      <c r="U19" s="513"/>
      <c r="V19" s="513"/>
      <c r="W19" s="513"/>
      <c r="X19" s="513"/>
      <c r="Y19" s="513"/>
      <c r="Z19" s="513"/>
      <c r="AA19" s="513"/>
      <c r="AB19" s="513"/>
      <c r="AC19" s="513"/>
      <c r="AD19" s="513"/>
      <c r="AE19" s="513"/>
      <c r="AF19" s="513"/>
      <c r="AG19" s="513"/>
      <c r="AH19" s="513"/>
      <c r="AI19" s="513"/>
      <c r="AJ19" s="513"/>
      <c r="AK19" s="513"/>
      <c r="AL19" s="513"/>
      <c r="AM19" s="513"/>
      <c r="AN19" s="513"/>
      <c r="AO19" s="513"/>
      <c r="AP19" s="513"/>
      <c r="AQ19" s="513"/>
      <c r="AR19" s="513"/>
      <c r="AS19" s="513"/>
      <c r="AT19" s="513"/>
      <c r="AU19" s="513"/>
      <c r="BA19" s="514"/>
      <c r="BB19" s="514"/>
      <c r="BC19" s="514"/>
      <c r="BD19" s="514"/>
      <c r="BE19" s="514"/>
      <c r="BF19" s="514"/>
      <c r="BG19" s="514"/>
      <c r="BH19" s="514"/>
      <c r="BI19" s="514"/>
      <c r="BJ19" s="514"/>
      <c r="BK19" s="514"/>
      <c r="BL19" s="514"/>
      <c r="BM19" s="514"/>
      <c r="BN19" s="514"/>
      <c r="BO19" s="514"/>
      <c r="BP19" s="514"/>
      <c r="BQ19" s="514"/>
      <c r="BR19" s="514"/>
      <c r="BS19" s="514"/>
      <c r="BT19" s="514"/>
      <c r="BU19" s="514"/>
      <c r="BV19" s="514"/>
      <c r="BW19" s="514"/>
      <c r="BX19" s="514"/>
      <c r="BY19" s="514"/>
      <c r="BZ19" s="514"/>
      <c r="CA19" s="514"/>
      <c r="CB19" s="514"/>
      <c r="CC19" s="514"/>
      <c r="CD19" s="514"/>
      <c r="CE19" s="514"/>
      <c r="CF19" s="514"/>
      <c r="CG19" s="514"/>
      <c r="CH19" s="514"/>
      <c r="CI19" s="514"/>
    </row>
    <row r="20" spans="1:87">
      <c r="A20" s="512" t="s">
        <v>274</v>
      </c>
      <c r="B20" s="502"/>
      <c r="C20" s="513"/>
      <c r="D20" s="513"/>
      <c r="E20" s="513"/>
      <c r="F20" s="513"/>
      <c r="G20" s="513"/>
      <c r="H20" s="513"/>
      <c r="I20" s="513"/>
      <c r="J20" s="513"/>
      <c r="K20" s="513"/>
      <c r="L20" s="513"/>
      <c r="M20" s="513"/>
      <c r="N20" s="513"/>
      <c r="O20" s="513"/>
      <c r="P20" s="513"/>
      <c r="Q20" s="513"/>
      <c r="R20" s="513"/>
      <c r="S20" s="513"/>
      <c r="T20" s="513"/>
      <c r="U20" s="513"/>
      <c r="V20" s="513"/>
      <c r="W20" s="513"/>
      <c r="X20" s="513"/>
      <c r="Y20" s="513"/>
      <c r="Z20" s="513"/>
      <c r="AA20" s="513"/>
      <c r="AB20" s="513"/>
      <c r="AC20" s="513"/>
      <c r="AD20" s="513"/>
      <c r="AE20" s="513"/>
      <c r="AF20" s="513"/>
      <c r="AG20" s="513"/>
      <c r="AH20" s="513"/>
      <c r="AI20" s="513"/>
      <c r="AJ20" s="513"/>
      <c r="AK20" s="513"/>
      <c r="AL20" s="513"/>
      <c r="AM20" s="513"/>
      <c r="AN20" s="513"/>
      <c r="AO20" s="513"/>
      <c r="AP20" s="513"/>
      <c r="AQ20" s="513"/>
      <c r="AR20" s="513"/>
      <c r="AS20" s="513"/>
      <c r="AT20" s="513"/>
      <c r="AU20" s="513"/>
      <c r="BA20" s="514"/>
      <c r="BB20" s="514"/>
      <c r="BC20" s="514"/>
      <c r="BD20" s="514"/>
      <c r="BE20" s="514"/>
      <c r="BF20" s="514"/>
      <c r="BG20" s="514"/>
      <c r="BH20" s="514"/>
      <c r="BI20" s="514"/>
      <c r="BJ20" s="514"/>
      <c r="BK20" s="514"/>
      <c r="BL20" s="514"/>
      <c r="BM20" s="514"/>
      <c r="BN20" s="514"/>
      <c r="BO20" s="514"/>
      <c r="BP20" s="514"/>
      <c r="BQ20" s="514"/>
      <c r="BR20" s="514"/>
      <c r="BS20" s="514"/>
      <c r="BT20" s="514"/>
      <c r="BU20" s="514"/>
      <c r="BV20" s="514"/>
      <c r="BW20" s="514"/>
      <c r="BX20" s="514"/>
      <c r="BY20" s="514"/>
      <c r="BZ20" s="514"/>
      <c r="CA20" s="514"/>
      <c r="CB20" s="514"/>
      <c r="CC20" s="514"/>
      <c r="CD20" s="514"/>
      <c r="CE20" s="514"/>
      <c r="CF20" s="514"/>
      <c r="CG20" s="514"/>
      <c r="CH20" s="514"/>
      <c r="CI20" s="514"/>
    </row>
    <row r="21" spans="1:87">
      <c r="B21" s="502" t="s">
        <v>254</v>
      </c>
      <c r="C21" s="513">
        <v>219644</v>
      </c>
      <c r="D21" s="513">
        <v>178815</v>
      </c>
      <c r="E21" s="513">
        <v>212633</v>
      </c>
      <c r="F21" s="513">
        <v>176142</v>
      </c>
      <c r="G21" s="513">
        <v>189749</v>
      </c>
      <c r="H21" s="513">
        <v>167734</v>
      </c>
      <c r="I21" s="513">
        <v>261461</v>
      </c>
      <c r="J21" s="513">
        <v>231365</v>
      </c>
      <c r="K21" s="513">
        <v>215881</v>
      </c>
      <c r="L21" s="513">
        <v>218894</v>
      </c>
      <c r="M21" s="513">
        <v>296175</v>
      </c>
      <c r="N21" s="513">
        <v>228793</v>
      </c>
      <c r="O21" s="513">
        <v>323922</v>
      </c>
      <c r="P21" s="513">
        <v>361261</v>
      </c>
      <c r="Q21" s="513">
        <v>380981</v>
      </c>
      <c r="R21" s="513">
        <v>452314</v>
      </c>
      <c r="S21" s="513">
        <v>531667</v>
      </c>
      <c r="T21" s="513">
        <v>392143</v>
      </c>
      <c r="U21" s="513">
        <v>464251</v>
      </c>
      <c r="V21" s="513">
        <v>464494</v>
      </c>
      <c r="W21" s="513">
        <v>338510</v>
      </c>
      <c r="X21" s="513">
        <v>278452</v>
      </c>
      <c r="Y21" s="513">
        <v>319410</v>
      </c>
      <c r="Z21" s="513">
        <v>386199</v>
      </c>
      <c r="AA21" s="513">
        <v>317290</v>
      </c>
      <c r="AB21" s="513">
        <v>625952</v>
      </c>
      <c r="AC21" s="513">
        <v>666612</v>
      </c>
      <c r="AD21" s="513">
        <v>701942</v>
      </c>
      <c r="AE21" s="513">
        <v>446693</v>
      </c>
      <c r="AF21" s="513">
        <v>581645</v>
      </c>
      <c r="AG21" s="513">
        <v>531974</v>
      </c>
      <c r="AH21" s="513">
        <v>654885</v>
      </c>
      <c r="AI21" s="513">
        <v>365452</v>
      </c>
      <c r="AJ21" s="513">
        <v>275181</v>
      </c>
      <c r="AK21" s="513">
        <v>358238</v>
      </c>
      <c r="AL21" s="513">
        <v>315958</v>
      </c>
      <c r="AM21" s="513">
        <v>209195</v>
      </c>
      <c r="AN21" s="513">
        <v>235612</v>
      </c>
      <c r="AO21" s="513">
        <v>350737</v>
      </c>
      <c r="AP21" s="513">
        <v>349927</v>
      </c>
      <c r="AQ21" s="513">
        <v>284111</v>
      </c>
      <c r="AR21" s="513">
        <v>209036</v>
      </c>
      <c r="AS21" s="513">
        <v>195839</v>
      </c>
      <c r="AT21" s="513">
        <v>210653</v>
      </c>
      <c r="AU21" s="513">
        <v>157671</v>
      </c>
      <c r="AV21" s="514">
        <v>154443</v>
      </c>
      <c r="AW21" s="514">
        <v>208116</v>
      </c>
      <c r="AX21" s="514">
        <v>150023</v>
      </c>
      <c r="AY21" s="514">
        <v>104264</v>
      </c>
      <c r="BA21" s="514">
        <v>104264</v>
      </c>
      <c r="BB21" s="514">
        <v>104264</v>
      </c>
      <c r="BC21" s="514">
        <v>93761</v>
      </c>
      <c r="BD21" s="514">
        <v>113958</v>
      </c>
      <c r="BE21" s="514">
        <v>86573</v>
      </c>
      <c r="BF21" s="514">
        <v>69021</v>
      </c>
      <c r="BG21" s="514">
        <v>60853</v>
      </c>
      <c r="BH21" s="514">
        <v>89511</v>
      </c>
      <c r="BI21" s="514">
        <v>102514</v>
      </c>
      <c r="BJ21" s="514">
        <v>195003</v>
      </c>
      <c r="BK21" s="514">
        <v>159419</v>
      </c>
      <c r="BL21" s="514">
        <v>228490</v>
      </c>
      <c r="BM21" s="514">
        <v>182821</v>
      </c>
      <c r="BN21" s="514">
        <v>141309</v>
      </c>
      <c r="BO21" s="514">
        <v>129638</v>
      </c>
      <c r="BP21" s="514">
        <v>134840</v>
      </c>
      <c r="BQ21" s="514">
        <v>159891</v>
      </c>
      <c r="BR21" s="514">
        <v>127760</v>
      </c>
      <c r="BS21" s="514">
        <v>109622</v>
      </c>
      <c r="BT21" s="514">
        <v>128879</v>
      </c>
      <c r="BU21" s="514">
        <v>144579</v>
      </c>
      <c r="BV21" s="514">
        <v>158472</v>
      </c>
      <c r="BW21" s="514">
        <v>161320</v>
      </c>
      <c r="BX21" s="514">
        <v>206684</v>
      </c>
      <c r="BY21" s="514">
        <v>239947</v>
      </c>
      <c r="BZ21" s="514">
        <v>211522</v>
      </c>
      <c r="CA21" s="514">
        <v>212761</v>
      </c>
      <c r="CB21" s="514">
        <v>150307</v>
      </c>
      <c r="CC21" s="514">
        <v>143695</v>
      </c>
      <c r="CD21" s="514">
        <v>122440</v>
      </c>
      <c r="CE21" s="514">
        <v>120050</v>
      </c>
      <c r="CF21" s="514">
        <v>131011</v>
      </c>
      <c r="CG21" s="514">
        <v>194244</v>
      </c>
      <c r="CH21" s="514">
        <v>170866</v>
      </c>
      <c r="CI21" s="514">
        <v>162571</v>
      </c>
    </row>
    <row r="22" spans="1:87">
      <c r="B22" s="502" t="s">
        <v>255</v>
      </c>
      <c r="C22" s="513">
        <v>217288</v>
      </c>
      <c r="D22" s="513">
        <v>177025</v>
      </c>
      <c r="E22" s="513">
        <v>210445</v>
      </c>
      <c r="F22" s="513">
        <v>174309</v>
      </c>
      <c r="G22" s="513">
        <v>183951</v>
      </c>
      <c r="H22" s="513">
        <v>161909</v>
      </c>
      <c r="I22" s="513">
        <v>253434</v>
      </c>
      <c r="J22" s="513">
        <v>224163</v>
      </c>
      <c r="K22" s="513">
        <v>209185</v>
      </c>
      <c r="L22" s="513">
        <v>212631</v>
      </c>
      <c r="M22" s="513">
        <v>287171</v>
      </c>
      <c r="N22" s="513">
        <v>221772</v>
      </c>
      <c r="O22" s="513">
        <v>313098</v>
      </c>
      <c r="P22" s="513">
        <v>351414</v>
      </c>
      <c r="Q22" s="513">
        <v>369876</v>
      </c>
      <c r="R22" s="513">
        <v>439421</v>
      </c>
      <c r="S22" s="513">
        <v>515505</v>
      </c>
      <c r="T22" s="513">
        <v>381641</v>
      </c>
      <c r="U22" s="513">
        <v>448356</v>
      </c>
      <c r="V22" s="513">
        <v>449324</v>
      </c>
      <c r="W22" s="513">
        <v>326134</v>
      </c>
      <c r="X22" s="513">
        <v>269634</v>
      </c>
      <c r="Y22" s="513">
        <v>309394</v>
      </c>
      <c r="Z22" s="513">
        <v>374028</v>
      </c>
      <c r="AA22" s="513">
        <v>306743</v>
      </c>
      <c r="AB22" s="513">
        <v>606447</v>
      </c>
      <c r="AC22" s="513">
        <v>645438</v>
      </c>
      <c r="AD22" s="513">
        <v>678915</v>
      </c>
      <c r="AE22" s="513">
        <v>421046</v>
      </c>
      <c r="AF22" s="513">
        <v>541105</v>
      </c>
      <c r="AG22" s="513">
        <v>497324</v>
      </c>
      <c r="AH22" s="513">
        <v>605011</v>
      </c>
      <c r="AI22" s="513">
        <v>343870</v>
      </c>
      <c r="AJ22" s="513">
        <v>256329</v>
      </c>
      <c r="AK22" s="513">
        <v>334299</v>
      </c>
      <c r="AL22" s="513">
        <v>295641</v>
      </c>
      <c r="AM22" s="513">
        <v>192307</v>
      </c>
      <c r="AN22" s="513">
        <v>217675</v>
      </c>
      <c r="AO22" s="513">
        <v>322459</v>
      </c>
      <c r="AP22" s="513">
        <v>322689</v>
      </c>
      <c r="AQ22" s="513">
        <v>255644</v>
      </c>
      <c r="AR22" s="513">
        <v>190013</v>
      </c>
      <c r="AS22" s="513">
        <v>179708</v>
      </c>
      <c r="AT22" s="513">
        <v>192487</v>
      </c>
      <c r="AU22" s="513">
        <v>145371</v>
      </c>
      <c r="AV22" s="514">
        <v>142088</v>
      </c>
      <c r="AW22" s="514">
        <v>191755</v>
      </c>
      <c r="AX22" s="514">
        <v>133231</v>
      </c>
      <c r="AY22" s="514">
        <v>93214</v>
      </c>
      <c r="BA22" s="514">
        <v>93214</v>
      </c>
      <c r="BB22" s="514">
        <v>89578</v>
      </c>
      <c r="BC22" s="514">
        <v>81258</v>
      </c>
      <c r="BD22" s="514">
        <v>99470</v>
      </c>
      <c r="BE22" s="514">
        <v>75463</v>
      </c>
      <c r="BF22" s="514">
        <v>60509</v>
      </c>
      <c r="BG22" s="514">
        <v>53117</v>
      </c>
      <c r="BH22" s="514">
        <v>78046</v>
      </c>
      <c r="BI22" s="514">
        <v>87157</v>
      </c>
      <c r="BJ22" s="514">
        <v>166598</v>
      </c>
      <c r="BK22" s="514">
        <v>130144</v>
      </c>
      <c r="BL22" s="514">
        <v>187008</v>
      </c>
      <c r="BM22" s="514">
        <v>145885</v>
      </c>
      <c r="BN22" s="514">
        <v>109628</v>
      </c>
      <c r="BO22" s="514">
        <v>95860</v>
      </c>
      <c r="BP22" s="514">
        <v>101235</v>
      </c>
      <c r="BQ22" s="514">
        <v>121753</v>
      </c>
      <c r="BR22" s="514">
        <v>94622</v>
      </c>
      <c r="BS22" s="514">
        <v>76720</v>
      </c>
      <c r="BT22" s="514">
        <v>93239</v>
      </c>
      <c r="BU22" s="514">
        <v>102871</v>
      </c>
      <c r="BV22" s="514">
        <v>108637</v>
      </c>
      <c r="BW22" s="514">
        <v>111971</v>
      </c>
      <c r="BX22" s="514">
        <v>148879</v>
      </c>
      <c r="BY22" s="514">
        <v>171698</v>
      </c>
      <c r="BZ22" s="514">
        <v>153756</v>
      </c>
      <c r="CA22" s="514">
        <v>148885</v>
      </c>
      <c r="CB22" s="514">
        <v>108027</v>
      </c>
      <c r="CC22" s="514">
        <v>97595</v>
      </c>
      <c r="CD22" s="514">
        <v>81244</v>
      </c>
      <c r="CE22" s="514">
        <v>77709</v>
      </c>
      <c r="CF22" s="514">
        <v>82398</v>
      </c>
      <c r="CG22" s="514">
        <v>132180</v>
      </c>
      <c r="CH22" s="514">
        <v>116504</v>
      </c>
      <c r="CI22" s="514">
        <v>112407</v>
      </c>
    </row>
    <row r="23" spans="1:87">
      <c r="B23" s="502" t="s">
        <v>256</v>
      </c>
      <c r="C23" s="513">
        <f>+C21-C22</f>
        <v>2356</v>
      </c>
      <c r="D23" s="513">
        <f t="shared" ref="D23:AM23" si="11">+D21-D22</f>
        <v>1790</v>
      </c>
      <c r="E23" s="513">
        <f t="shared" si="11"/>
        <v>2188</v>
      </c>
      <c r="F23" s="513">
        <f t="shared" si="11"/>
        <v>1833</v>
      </c>
      <c r="G23" s="513">
        <f t="shared" si="11"/>
        <v>5798</v>
      </c>
      <c r="H23" s="513">
        <f t="shared" si="11"/>
        <v>5825</v>
      </c>
      <c r="I23" s="513">
        <f t="shared" si="11"/>
        <v>8027</v>
      </c>
      <c r="J23" s="513">
        <f t="shared" si="11"/>
        <v>7202</v>
      </c>
      <c r="K23" s="513">
        <f t="shared" si="11"/>
        <v>6696</v>
      </c>
      <c r="L23" s="513">
        <f t="shared" si="11"/>
        <v>6263</v>
      </c>
      <c r="M23" s="513">
        <f t="shared" si="11"/>
        <v>9004</v>
      </c>
      <c r="N23" s="513">
        <f t="shared" si="11"/>
        <v>7021</v>
      </c>
      <c r="O23" s="513">
        <f t="shared" si="11"/>
        <v>10824</v>
      </c>
      <c r="P23" s="513">
        <f t="shared" si="11"/>
        <v>9847</v>
      </c>
      <c r="Q23" s="513">
        <f t="shared" si="11"/>
        <v>11105</v>
      </c>
      <c r="R23" s="513">
        <f t="shared" si="11"/>
        <v>12893</v>
      </c>
      <c r="S23" s="513">
        <f t="shared" si="11"/>
        <v>16162</v>
      </c>
      <c r="T23" s="513">
        <f t="shared" si="11"/>
        <v>10502</v>
      </c>
      <c r="U23" s="513">
        <f t="shared" si="11"/>
        <v>15895</v>
      </c>
      <c r="V23" s="513">
        <f t="shared" si="11"/>
        <v>15170</v>
      </c>
      <c r="W23" s="513">
        <f t="shared" si="11"/>
        <v>12376</v>
      </c>
      <c r="X23" s="513">
        <f t="shared" si="11"/>
        <v>8818</v>
      </c>
      <c r="Y23" s="513">
        <f t="shared" si="11"/>
        <v>10016</v>
      </c>
      <c r="Z23" s="513">
        <f t="shared" si="11"/>
        <v>12171</v>
      </c>
      <c r="AA23" s="513">
        <f t="shared" si="11"/>
        <v>10547</v>
      </c>
      <c r="AB23" s="513">
        <f t="shared" si="11"/>
        <v>19505</v>
      </c>
      <c r="AC23" s="513">
        <f t="shared" si="11"/>
        <v>21174</v>
      </c>
      <c r="AD23" s="513">
        <f t="shared" si="11"/>
        <v>23027</v>
      </c>
      <c r="AE23" s="513">
        <f t="shared" si="11"/>
        <v>25647</v>
      </c>
      <c r="AF23" s="513">
        <f t="shared" si="11"/>
        <v>40540</v>
      </c>
      <c r="AG23" s="513">
        <f t="shared" si="11"/>
        <v>34650</v>
      </c>
      <c r="AH23" s="513">
        <f t="shared" si="11"/>
        <v>49874</v>
      </c>
      <c r="AI23" s="513">
        <f t="shared" si="11"/>
        <v>21582</v>
      </c>
      <c r="AJ23" s="513">
        <f t="shared" si="11"/>
        <v>18852</v>
      </c>
      <c r="AK23" s="513">
        <f t="shared" si="11"/>
        <v>23939</v>
      </c>
      <c r="AL23" s="513">
        <f t="shared" si="11"/>
        <v>20317</v>
      </c>
      <c r="AM23" s="513">
        <f t="shared" si="11"/>
        <v>16888</v>
      </c>
      <c r="AN23" s="513">
        <f t="shared" ref="AN23:AV23" si="12">+AN21-AN22</f>
        <v>17937</v>
      </c>
      <c r="AO23" s="513">
        <f t="shared" si="12"/>
        <v>28278</v>
      </c>
      <c r="AP23" s="513">
        <f t="shared" si="12"/>
        <v>27238</v>
      </c>
      <c r="AQ23" s="513">
        <f t="shared" si="12"/>
        <v>28467</v>
      </c>
      <c r="AR23" s="513">
        <f t="shared" si="12"/>
        <v>19023</v>
      </c>
      <c r="AS23" s="513">
        <f t="shared" si="12"/>
        <v>16131</v>
      </c>
      <c r="AT23" s="513">
        <f t="shared" si="12"/>
        <v>18166</v>
      </c>
      <c r="AU23" s="513">
        <f t="shared" si="12"/>
        <v>12300</v>
      </c>
      <c r="AV23" s="514">
        <f t="shared" si="12"/>
        <v>12355</v>
      </c>
      <c r="AW23" s="514">
        <v>16361</v>
      </c>
      <c r="AX23" s="514">
        <v>16792</v>
      </c>
      <c r="AY23" s="514">
        <v>11050</v>
      </c>
      <c r="BA23" s="514">
        <v>11050</v>
      </c>
      <c r="BB23" s="514">
        <v>14686</v>
      </c>
      <c r="BC23" s="514">
        <v>12503</v>
      </c>
      <c r="BD23" s="514">
        <v>14488</v>
      </c>
      <c r="BE23" s="514">
        <v>11110</v>
      </c>
      <c r="BF23" s="514">
        <v>8512</v>
      </c>
      <c r="BG23" s="514">
        <v>7736</v>
      </c>
      <c r="BH23" s="514">
        <v>11465</v>
      </c>
      <c r="BI23" s="514">
        <v>15357</v>
      </c>
      <c r="BJ23" s="514">
        <v>28405</v>
      </c>
      <c r="BK23" s="514">
        <v>29275</v>
      </c>
      <c r="BL23" s="514">
        <v>41482</v>
      </c>
      <c r="BM23" s="514">
        <v>36936</v>
      </c>
      <c r="BN23" s="514">
        <v>31681</v>
      </c>
      <c r="BO23" s="514">
        <v>33778</v>
      </c>
      <c r="BP23" s="514">
        <v>33605</v>
      </c>
      <c r="BQ23" s="514">
        <v>38138</v>
      </c>
      <c r="BR23" s="514">
        <v>33138</v>
      </c>
      <c r="BS23" s="514">
        <v>32902</v>
      </c>
      <c r="BT23" s="514">
        <v>35640</v>
      </c>
      <c r="BU23" s="514">
        <v>41708</v>
      </c>
      <c r="BV23" s="514">
        <v>49835</v>
      </c>
      <c r="BW23" s="514">
        <v>49349</v>
      </c>
      <c r="BX23" s="514">
        <v>57805</v>
      </c>
      <c r="BY23" s="514">
        <v>68249</v>
      </c>
      <c r="BZ23" s="514">
        <v>57766</v>
      </c>
      <c r="CA23" s="514">
        <v>63876</v>
      </c>
      <c r="CB23" s="514">
        <v>42280</v>
      </c>
      <c r="CC23" s="514">
        <v>46100</v>
      </c>
      <c r="CD23" s="514">
        <v>41196</v>
      </c>
      <c r="CE23" s="514">
        <v>42341</v>
      </c>
      <c r="CF23" s="514">
        <v>48613</v>
      </c>
      <c r="CG23" s="514">
        <v>62064</v>
      </c>
      <c r="CH23" s="514">
        <v>54362</v>
      </c>
      <c r="CI23" s="514">
        <v>50164</v>
      </c>
    </row>
    <row r="24" spans="1:87" s="512" customFormat="1" ht="17.25" thickBot="1">
      <c r="A24" s="516"/>
      <c r="B24" s="517" t="s">
        <v>258</v>
      </c>
      <c r="C24" s="518">
        <f>+C23/C21</f>
        <v>1.0726448252626978E-2</v>
      </c>
      <c r="D24" s="518">
        <f t="shared" ref="D24:AF24" si="13">+D23/D21</f>
        <v>1.0010345888208483E-2</v>
      </c>
      <c r="E24" s="518">
        <f t="shared" si="13"/>
        <v>1.0290030239896912E-2</v>
      </c>
      <c r="F24" s="518">
        <f t="shared" si="13"/>
        <v>1.0406376673365808E-2</v>
      </c>
      <c r="G24" s="518">
        <f t="shared" si="13"/>
        <v>3.0556155763666739E-2</v>
      </c>
      <c r="H24" s="518">
        <f t="shared" si="13"/>
        <v>3.4727604421286085E-2</v>
      </c>
      <c r="I24" s="518">
        <f t="shared" si="13"/>
        <v>3.0700563372740103E-2</v>
      </c>
      <c r="J24" s="518">
        <f t="shared" si="13"/>
        <v>3.1128303762453267E-2</v>
      </c>
      <c r="K24" s="518">
        <f t="shared" si="13"/>
        <v>3.1017088117990931E-2</v>
      </c>
      <c r="L24" s="518">
        <f t="shared" si="13"/>
        <v>2.8612022257348307E-2</v>
      </c>
      <c r="M24" s="518">
        <f t="shared" si="13"/>
        <v>3.0400945387017809E-2</v>
      </c>
      <c r="N24" s="518">
        <f t="shared" si="13"/>
        <v>3.0687127665619141E-2</v>
      </c>
      <c r="O24" s="518">
        <f t="shared" si="13"/>
        <v>3.3415451868042303E-2</v>
      </c>
      <c r="P24" s="518">
        <f t="shared" si="13"/>
        <v>2.7257301507774157E-2</v>
      </c>
      <c r="Q24" s="518">
        <f t="shared" si="13"/>
        <v>2.9148435223803813E-2</v>
      </c>
      <c r="R24" s="518">
        <f t="shared" si="13"/>
        <v>2.8504534460573848E-2</v>
      </c>
      <c r="S24" s="518">
        <f t="shared" si="13"/>
        <v>3.0398727022741677E-2</v>
      </c>
      <c r="T24" s="518">
        <f t="shared" si="13"/>
        <v>2.67810467100012E-2</v>
      </c>
      <c r="U24" s="518">
        <f t="shared" si="13"/>
        <v>3.4237944560162499E-2</v>
      </c>
      <c r="V24" s="518">
        <f t="shared" si="13"/>
        <v>3.2659194736638149E-2</v>
      </c>
      <c r="W24" s="518">
        <f t="shared" si="13"/>
        <v>3.656021978671236E-2</v>
      </c>
      <c r="X24" s="518">
        <f t="shared" si="13"/>
        <v>3.1667935586743856E-2</v>
      </c>
      <c r="Y24" s="518">
        <f t="shared" si="13"/>
        <v>3.1357815973200587E-2</v>
      </c>
      <c r="Z24" s="518">
        <f t="shared" si="13"/>
        <v>3.1514840794512673E-2</v>
      </c>
      <c r="AA24" s="518">
        <f t="shared" si="13"/>
        <v>3.3240883734123358E-2</v>
      </c>
      <c r="AB24" s="518">
        <f t="shared" si="13"/>
        <v>3.1160536271151781E-2</v>
      </c>
      <c r="AC24" s="518">
        <f>+AC23/AC21</f>
        <v>3.1763604615578478E-2</v>
      </c>
      <c r="AD24" s="518">
        <f t="shared" si="13"/>
        <v>3.2804704662208556E-2</v>
      </c>
      <c r="AE24" s="518">
        <f t="shared" si="13"/>
        <v>5.741527178621559E-2</v>
      </c>
      <c r="AF24" s="518">
        <f t="shared" si="13"/>
        <v>6.9698871304661777E-2</v>
      </c>
      <c r="AG24" s="518">
        <f>+AG23/AG21</f>
        <v>6.5134762225221535E-2</v>
      </c>
      <c r="AH24" s="518">
        <f>+AH23/AH21</f>
        <v>7.615688250608886E-2</v>
      </c>
      <c r="AI24" s="518">
        <f>ROUND(+AI23/AI21,4)</f>
        <v>5.91E-2</v>
      </c>
      <c r="AJ24" s="518">
        <f t="shared" ref="AJ24:AQ24" si="14">ROUND(+AJ23/AJ21,4)</f>
        <v>6.8500000000000005E-2</v>
      </c>
      <c r="AK24" s="518">
        <f t="shared" si="14"/>
        <v>6.6799999999999998E-2</v>
      </c>
      <c r="AL24" s="518">
        <f t="shared" si="14"/>
        <v>6.4299999999999996E-2</v>
      </c>
      <c r="AM24" s="518">
        <f t="shared" si="14"/>
        <v>8.0699999999999994E-2</v>
      </c>
      <c r="AN24" s="518">
        <f t="shared" si="14"/>
        <v>7.6100000000000001E-2</v>
      </c>
      <c r="AO24" s="518">
        <f t="shared" si="14"/>
        <v>8.0600000000000005E-2</v>
      </c>
      <c r="AP24" s="518">
        <f t="shared" si="14"/>
        <v>7.7799999999999994E-2</v>
      </c>
      <c r="AQ24" s="518">
        <f t="shared" si="14"/>
        <v>0.1002</v>
      </c>
      <c r="AR24" s="518">
        <f t="shared" ref="AR24:AW24" si="15">ROUND(+AR23/AR21,4)</f>
        <v>9.0999999999999998E-2</v>
      </c>
      <c r="AS24" s="518">
        <f t="shared" si="15"/>
        <v>8.2400000000000001E-2</v>
      </c>
      <c r="AT24" s="518">
        <f t="shared" si="15"/>
        <v>8.6199999999999999E-2</v>
      </c>
      <c r="AU24" s="518">
        <f t="shared" si="15"/>
        <v>7.8E-2</v>
      </c>
      <c r="AV24" s="519">
        <f t="shared" si="15"/>
        <v>0.08</v>
      </c>
      <c r="AW24" s="519">
        <f t="shared" si="15"/>
        <v>7.8600000000000003E-2</v>
      </c>
      <c r="AX24" s="519">
        <v>0.1119</v>
      </c>
      <c r="AY24" s="519">
        <v>0.106</v>
      </c>
      <c r="BA24" s="519">
        <v>0.106</v>
      </c>
      <c r="BB24" s="519">
        <v>0.1409</v>
      </c>
      <c r="BC24" s="519">
        <v>0.1333</v>
      </c>
      <c r="BD24" s="519">
        <v>0.12709999999999999</v>
      </c>
      <c r="BE24" s="519">
        <v>0.1283</v>
      </c>
      <c r="BF24" s="519">
        <v>0.12330000000000001</v>
      </c>
      <c r="BG24" s="519">
        <f>ROUND(+BG23/BG21,4)</f>
        <v>0.12709999999999999</v>
      </c>
      <c r="BH24" s="519">
        <v>0.12809999999999999</v>
      </c>
      <c r="BI24" s="519">
        <v>0.14979999999999999</v>
      </c>
      <c r="BJ24" s="519">
        <v>0.1457</v>
      </c>
      <c r="BK24" s="519">
        <v>0.18360000000000001</v>
      </c>
      <c r="BL24" s="519">
        <v>0.18149999999999999</v>
      </c>
      <c r="BM24" s="519">
        <v>0.20200000000000001</v>
      </c>
      <c r="BN24" s="519">
        <v>0.22420000000000001</v>
      </c>
      <c r="BO24" s="519">
        <v>0.2606</v>
      </c>
      <c r="BP24" s="519">
        <v>0.2492</v>
      </c>
      <c r="BQ24" s="519">
        <v>0.23849999999999999</v>
      </c>
      <c r="BR24" s="519">
        <v>0.25940000000000002</v>
      </c>
      <c r="BS24" s="519">
        <v>0.30009999999999998</v>
      </c>
      <c r="BT24" s="519">
        <v>0.27650000000000002</v>
      </c>
      <c r="BU24" s="519">
        <v>0.28849999999999998</v>
      </c>
      <c r="BV24" s="519">
        <v>0.3145</v>
      </c>
      <c r="BW24" s="519">
        <v>0.30590000000000001</v>
      </c>
      <c r="BX24" s="519">
        <v>0.2797</v>
      </c>
      <c r="BY24" s="519">
        <v>0.28439999999999999</v>
      </c>
      <c r="BZ24" s="519">
        <v>0.27310000000000001</v>
      </c>
      <c r="CA24" s="519">
        <v>0.30020000000000002</v>
      </c>
      <c r="CB24" s="519">
        <v>0.28129999999999999</v>
      </c>
      <c r="CC24" s="519">
        <v>0.32079999999999997</v>
      </c>
      <c r="CD24" s="519">
        <v>0.33650000000000002</v>
      </c>
      <c r="CE24" s="519">
        <v>0.35270000000000001</v>
      </c>
      <c r="CF24" s="519">
        <v>0.37109999999999999</v>
      </c>
      <c r="CG24" s="519">
        <v>0.31950000000000001</v>
      </c>
      <c r="CH24" s="519">
        <v>0.31819999999999998</v>
      </c>
      <c r="CI24" s="519">
        <v>0.30859999999999999</v>
      </c>
    </row>
    <row r="25" spans="1:87" ht="4.5" customHeight="1">
      <c r="B25" s="502"/>
      <c r="C25" s="513"/>
      <c r="D25" s="513"/>
      <c r="E25" s="513"/>
      <c r="F25" s="513"/>
      <c r="G25" s="513"/>
      <c r="H25" s="513"/>
      <c r="I25" s="513"/>
      <c r="J25" s="513"/>
      <c r="K25" s="513"/>
      <c r="L25" s="513"/>
      <c r="M25" s="513"/>
      <c r="N25" s="513"/>
      <c r="O25" s="513"/>
      <c r="P25" s="513"/>
      <c r="Q25" s="513"/>
      <c r="R25" s="513"/>
      <c r="S25" s="513"/>
      <c r="T25" s="513"/>
      <c r="U25" s="513"/>
      <c r="V25" s="513"/>
      <c r="W25" s="513"/>
      <c r="X25" s="513"/>
      <c r="Y25" s="513"/>
      <c r="Z25" s="513"/>
      <c r="AA25" s="513"/>
      <c r="AB25" s="513"/>
      <c r="AC25" s="513"/>
      <c r="AD25" s="513"/>
      <c r="AE25" s="513"/>
      <c r="AF25" s="513"/>
      <c r="AG25" s="513"/>
      <c r="AH25" s="513"/>
      <c r="AI25" s="513"/>
      <c r="AJ25" s="513"/>
      <c r="AK25" s="513"/>
      <c r="AL25" s="513"/>
      <c r="AM25" s="513"/>
      <c r="AN25" s="513"/>
      <c r="AO25" s="513"/>
      <c r="AP25" s="513"/>
      <c r="AQ25" s="513"/>
      <c r="AR25" s="513"/>
      <c r="AS25" s="513"/>
      <c r="AT25" s="513"/>
      <c r="AU25" s="513"/>
      <c r="BA25" s="514"/>
      <c r="BB25" s="514"/>
      <c r="BC25" s="514"/>
      <c r="BD25" s="514"/>
      <c r="BE25" s="514"/>
      <c r="BF25" s="514"/>
      <c r="BG25" s="514"/>
      <c r="BH25" s="514"/>
      <c r="BI25" s="514"/>
      <c r="BJ25" s="514"/>
      <c r="BK25" s="514"/>
      <c r="BL25" s="514"/>
      <c r="BM25" s="514"/>
      <c r="BN25" s="514"/>
      <c r="BO25" s="514"/>
      <c r="BP25" s="514"/>
      <c r="BQ25" s="514"/>
      <c r="BR25" s="514"/>
      <c r="BS25" s="514"/>
      <c r="BT25" s="514"/>
      <c r="BU25" s="514"/>
      <c r="BV25" s="514"/>
      <c r="BW25" s="514"/>
      <c r="BX25" s="514"/>
      <c r="BY25" s="514"/>
      <c r="BZ25" s="514"/>
      <c r="CA25" s="514"/>
      <c r="CB25" s="514"/>
      <c r="CC25" s="514"/>
      <c r="CD25" s="514"/>
      <c r="CE25" s="514"/>
      <c r="CF25" s="514"/>
      <c r="CG25" s="514"/>
      <c r="CH25" s="514"/>
      <c r="CI25" s="514"/>
    </row>
    <row r="26" spans="1:87">
      <c r="A26" s="524" t="s">
        <v>265</v>
      </c>
      <c r="B26" s="502"/>
      <c r="C26" s="513"/>
      <c r="D26" s="513"/>
      <c r="E26" s="513"/>
      <c r="F26" s="513"/>
      <c r="G26" s="513"/>
      <c r="H26" s="513"/>
      <c r="I26" s="513"/>
      <c r="J26" s="513"/>
      <c r="K26" s="513"/>
      <c r="L26" s="513"/>
      <c r="M26" s="513"/>
      <c r="N26" s="513"/>
      <c r="O26" s="513"/>
      <c r="P26" s="513"/>
      <c r="Q26" s="513"/>
      <c r="R26" s="513"/>
      <c r="S26" s="513"/>
      <c r="T26" s="513"/>
      <c r="U26" s="513"/>
      <c r="V26" s="513"/>
      <c r="W26" s="513"/>
      <c r="X26" s="513"/>
      <c r="Y26" s="513"/>
      <c r="Z26" s="513"/>
      <c r="AA26" s="513"/>
      <c r="AB26" s="513"/>
      <c r="AC26" s="513"/>
      <c r="AD26" s="513"/>
      <c r="AE26" s="513"/>
      <c r="AF26" s="513"/>
      <c r="AG26" s="513"/>
      <c r="AH26" s="513"/>
      <c r="AI26" s="513"/>
      <c r="AJ26" s="513"/>
      <c r="AK26" s="513"/>
      <c r="AL26" s="513"/>
      <c r="AM26" s="513"/>
      <c r="AN26" s="513"/>
      <c r="AO26" s="513"/>
      <c r="AP26" s="513"/>
      <c r="AQ26" s="513"/>
      <c r="AR26" s="513"/>
      <c r="AS26" s="513"/>
      <c r="AT26" s="513"/>
      <c r="AU26" s="513"/>
      <c r="BA26" s="514"/>
      <c r="BB26" s="514"/>
      <c r="BC26" s="514"/>
      <c r="BD26" s="514"/>
      <c r="BE26" s="514"/>
      <c r="BF26" s="514"/>
      <c r="BG26" s="514"/>
      <c r="BH26" s="514"/>
      <c r="BI26" s="514"/>
      <c r="BJ26" s="514"/>
      <c r="BK26" s="514"/>
      <c r="BL26" s="514"/>
      <c r="BM26" s="514"/>
      <c r="BN26" s="514"/>
      <c r="BO26" s="514"/>
      <c r="BP26" s="514"/>
      <c r="BQ26" s="514"/>
      <c r="BR26" s="514"/>
      <c r="BS26" s="514"/>
      <c r="BT26" s="514"/>
      <c r="BU26" s="514"/>
      <c r="BV26" s="514"/>
      <c r="BW26" s="514"/>
      <c r="BX26" s="514"/>
      <c r="BY26" s="514"/>
      <c r="BZ26" s="514"/>
      <c r="CA26" s="514"/>
      <c r="CB26" s="514"/>
      <c r="CC26" s="514"/>
      <c r="CD26" s="514"/>
      <c r="CE26" s="514"/>
      <c r="CF26" s="514"/>
      <c r="CG26" s="514"/>
      <c r="CH26" s="514"/>
      <c r="CI26" s="514"/>
    </row>
    <row r="27" spans="1:87">
      <c r="B27" s="502" t="s">
        <v>254</v>
      </c>
      <c r="C27" s="513">
        <f>C7+C15+C21</f>
        <v>2299495</v>
      </c>
      <c r="D27" s="513">
        <f t="shared" ref="D27:AU29" si="16">D7+D15+D21</f>
        <v>2291011</v>
      </c>
      <c r="E27" s="513">
        <f t="shared" si="16"/>
        <v>2305093</v>
      </c>
      <c r="F27" s="513">
        <f t="shared" si="16"/>
        <v>2347570</v>
      </c>
      <c r="G27" s="513">
        <f t="shared" si="16"/>
        <v>2292313</v>
      </c>
      <c r="H27" s="513">
        <f t="shared" si="16"/>
        <v>2311909</v>
      </c>
      <c r="I27" s="513">
        <f t="shared" si="16"/>
        <v>2443911</v>
      </c>
      <c r="J27" s="513">
        <f t="shared" si="16"/>
        <v>2457984</v>
      </c>
      <c r="K27" s="513">
        <f t="shared" si="16"/>
        <v>2474390</v>
      </c>
      <c r="L27" s="513">
        <f t="shared" si="16"/>
        <v>2573246</v>
      </c>
      <c r="M27" s="513">
        <f t="shared" si="16"/>
        <v>2709090</v>
      </c>
      <c r="N27" s="513">
        <f t="shared" si="16"/>
        <v>2779364</v>
      </c>
      <c r="O27" s="513">
        <f t="shared" si="16"/>
        <v>2978549</v>
      </c>
      <c r="P27" s="513">
        <f t="shared" si="16"/>
        <v>3777008</v>
      </c>
      <c r="Q27" s="513">
        <f t="shared" si="16"/>
        <v>4416278</v>
      </c>
      <c r="R27" s="513">
        <f t="shared" si="16"/>
        <v>4704610</v>
      </c>
      <c r="S27" s="513">
        <f t="shared" si="16"/>
        <v>5107154</v>
      </c>
      <c r="T27" s="513">
        <f t="shared" si="16"/>
        <v>5192557</v>
      </c>
      <c r="U27" s="513">
        <f t="shared" si="16"/>
        <v>5444380</v>
      </c>
      <c r="V27" s="513">
        <f t="shared" si="16"/>
        <v>5670092</v>
      </c>
      <c r="W27" s="513">
        <f t="shared" si="16"/>
        <v>5577790</v>
      </c>
      <c r="X27" s="513">
        <f t="shared" si="16"/>
        <v>5837230</v>
      </c>
      <c r="Y27" s="513">
        <f t="shared" si="16"/>
        <v>6099084</v>
      </c>
      <c r="Z27" s="513">
        <f t="shared" si="16"/>
        <v>6527392</v>
      </c>
      <c r="AA27" s="513">
        <f>AA7+AA15+AA21</f>
        <v>6546113.2000000002</v>
      </c>
      <c r="AB27" s="513">
        <f t="shared" si="16"/>
        <v>7314563</v>
      </c>
      <c r="AC27" s="513">
        <f t="shared" si="16"/>
        <v>7810794</v>
      </c>
      <c r="AD27" s="513">
        <f t="shared" si="16"/>
        <v>8224153</v>
      </c>
      <c r="AE27" s="513">
        <f t="shared" si="16"/>
        <v>8226027</v>
      </c>
      <c r="AF27" s="513">
        <f t="shared" si="16"/>
        <v>8792035</v>
      </c>
      <c r="AG27" s="513">
        <f t="shared" si="16"/>
        <v>9796766</v>
      </c>
      <c r="AH27" s="513">
        <f t="shared" si="16"/>
        <v>10177188</v>
      </c>
      <c r="AI27" s="513">
        <f t="shared" si="16"/>
        <v>10213929</v>
      </c>
      <c r="AJ27" s="513">
        <f t="shared" si="16"/>
        <v>10519647</v>
      </c>
      <c r="AK27" s="513">
        <f t="shared" si="16"/>
        <v>10835090</v>
      </c>
      <c r="AL27" s="513">
        <f t="shared" si="16"/>
        <v>10959944</v>
      </c>
      <c r="AM27" s="513">
        <f t="shared" si="16"/>
        <v>10998439</v>
      </c>
      <c r="AN27" s="513">
        <f t="shared" si="16"/>
        <v>11164537</v>
      </c>
      <c r="AO27" s="513">
        <f t="shared" si="16"/>
        <v>11227457</v>
      </c>
      <c r="AP27" s="513">
        <f t="shared" si="16"/>
        <v>11385174</v>
      </c>
      <c r="AQ27" s="513">
        <f t="shared" si="16"/>
        <v>11394823</v>
      </c>
      <c r="AR27" s="513">
        <f t="shared" si="16"/>
        <v>11532078</v>
      </c>
      <c r="AS27" s="513">
        <f>AS7+AS15+AS21</f>
        <v>11624851</v>
      </c>
      <c r="AT27" s="513">
        <f t="shared" si="16"/>
        <v>11276349</v>
      </c>
      <c r="AU27" s="513">
        <f t="shared" si="16"/>
        <v>11173562</v>
      </c>
      <c r="AV27" s="514">
        <f t="shared" ref="AV27:AW29" si="17">AV7+AV15+AV21</f>
        <v>11035984</v>
      </c>
      <c r="AW27" s="514">
        <f t="shared" si="17"/>
        <v>11031596</v>
      </c>
      <c r="AX27" s="514">
        <v>10852795</v>
      </c>
      <c r="AY27" s="514">
        <v>10531682</v>
      </c>
      <c r="BA27" s="514">
        <v>10530726</v>
      </c>
      <c r="BB27" s="514">
        <v>10530726</v>
      </c>
      <c r="BC27" s="514">
        <v>9867755.6065599956</v>
      </c>
      <c r="BD27" s="514">
        <v>8866349</v>
      </c>
      <c r="BE27" s="514">
        <v>8788204</v>
      </c>
      <c r="BF27" s="514">
        <v>7045555</v>
      </c>
      <c r="BG27" s="514">
        <v>6946789</v>
      </c>
      <c r="BH27" s="514">
        <v>6936543</v>
      </c>
      <c r="BI27" s="514">
        <v>6514855</v>
      </c>
      <c r="BJ27" s="514">
        <v>6122541</v>
      </c>
      <c r="BK27" s="514">
        <v>6055764</v>
      </c>
      <c r="BL27" s="514">
        <v>5007595</v>
      </c>
      <c r="BM27" s="514">
        <v>4896055</v>
      </c>
      <c r="BN27" s="514">
        <v>4342940</v>
      </c>
      <c r="BO27" s="514">
        <v>4777827</v>
      </c>
      <c r="BP27" s="514">
        <v>4469717</v>
      </c>
      <c r="BQ27" s="514">
        <v>4383222</v>
      </c>
      <c r="BR27" s="514">
        <v>4024358</v>
      </c>
      <c r="BS27" s="514">
        <v>4007949</v>
      </c>
      <c r="BT27" s="514">
        <v>4087907</v>
      </c>
      <c r="BU27" s="514">
        <v>3974471</v>
      </c>
      <c r="BV27" s="514">
        <v>2991445</v>
      </c>
      <c r="BW27" s="514">
        <v>3022050</v>
      </c>
      <c r="BX27" s="514">
        <v>2503715</v>
      </c>
      <c r="BY27" s="514">
        <v>2529573</v>
      </c>
      <c r="BZ27" s="514">
        <v>2197089</v>
      </c>
      <c r="CA27" s="514">
        <v>2336387</v>
      </c>
      <c r="CB27" s="514">
        <v>2513248</v>
      </c>
      <c r="CC27" s="514">
        <v>2524535</v>
      </c>
      <c r="CD27" s="514">
        <v>2211934</v>
      </c>
      <c r="CE27" s="514">
        <v>2387255</v>
      </c>
      <c r="CF27" s="514">
        <v>2381704</v>
      </c>
      <c r="CG27" s="514">
        <v>2982380</v>
      </c>
      <c r="CH27" s="514">
        <v>2767405</v>
      </c>
      <c r="CI27" s="514">
        <v>2872071</v>
      </c>
    </row>
    <row r="28" spans="1:87">
      <c r="B28" s="502" t="s">
        <v>255</v>
      </c>
      <c r="C28" s="513">
        <f>C8+C16+C22</f>
        <v>1180142</v>
      </c>
      <c r="D28" s="513">
        <f t="shared" si="16"/>
        <v>1165145</v>
      </c>
      <c r="E28" s="513">
        <f t="shared" si="16"/>
        <v>1185535</v>
      </c>
      <c r="F28" s="513">
        <f t="shared" si="16"/>
        <v>1203682</v>
      </c>
      <c r="G28" s="513">
        <f t="shared" si="16"/>
        <v>1192449</v>
      </c>
      <c r="H28" s="513">
        <f t="shared" si="16"/>
        <v>1196032</v>
      </c>
      <c r="I28" s="513">
        <f t="shared" si="16"/>
        <v>1306292</v>
      </c>
      <c r="J28" s="513">
        <f t="shared" si="16"/>
        <v>1312631</v>
      </c>
      <c r="K28" s="513">
        <f t="shared" si="16"/>
        <v>1332261</v>
      </c>
      <c r="L28" s="513">
        <f t="shared" si="16"/>
        <v>1406484</v>
      </c>
      <c r="M28" s="513">
        <f t="shared" si="16"/>
        <v>1516015</v>
      </c>
      <c r="N28" s="513">
        <f t="shared" si="16"/>
        <v>1543985</v>
      </c>
      <c r="O28" s="513">
        <f t="shared" si="16"/>
        <v>1706719</v>
      </c>
      <c r="P28" s="513">
        <f t="shared" si="16"/>
        <v>2231563</v>
      </c>
      <c r="Q28" s="513">
        <f t="shared" si="16"/>
        <v>2664270</v>
      </c>
      <c r="R28" s="513">
        <f t="shared" si="16"/>
        <v>2892515</v>
      </c>
      <c r="S28" s="513">
        <f t="shared" si="16"/>
        <v>3225909</v>
      </c>
      <c r="T28" s="513">
        <f t="shared" si="16"/>
        <v>3267489</v>
      </c>
      <c r="U28" s="513">
        <f t="shared" si="16"/>
        <v>3465306</v>
      </c>
      <c r="V28" s="513">
        <f t="shared" si="16"/>
        <v>3608109</v>
      </c>
      <c r="W28" s="525">
        <f>W8+W16+W22-1</f>
        <v>3534693</v>
      </c>
      <c r="X28" s="513">
        <f t="shared" si="16"/>
        <v>3727577</v>
      </c>
      <c r="Y28" s="513">
        <f t="shared" si="16"/>
        <v>3917585</v>
      </c>
      <c r="Z28" s="513">
        <f t="shared" si="16"/>
        <v>4274254</v>
      </c>
      <c r="AA28" s="513">
        <f>AA8+AA16+AA22</f>
        <v>4330400.2</v>
      </c>
      <c r="AB28" s="513">
        <f t="shared" si="16"/>
        <v>4995679</v>
      </c>
      <c r="AC28" s="513">
        <f t="shared" si="16"/>
        <v>5319351</v>
      </c>
      <c r="AD28" s="513">
        <f t="shared" si="16"/>
        <v>5626323</v>
      </c>
      <c r="AE28" s="513">
        <f t="shared" si="16"/>
        <v>5200613</v>
      </c>
      <c r="AF28" s="513">
        <f t="shared" si="16"/>
        <v>5598886</v>
      </c>
      <c r="AG28" s="513">
        <f t="shared" si="16"/>
        <v>6290065</v>
      </c>
      <c r="AH28" s="513">
        <f t="shared" si="16"/>
        <v>6548973</v>
      </c>
      <c r="AI28" s="513">
        <f t="shared" si="16"/>
        <v>6399618</v>
      </c>
      <c r="AJ28" s="513">
        <f t="shared" si="16"/>
        <v>6470229</v>
      </c>
      <c r="AK28" s="513">
        <f t="shared" si="16"/>
        <v>6564279</v>
      </c>
      <c r="AL28" s="513">
        <f t="shared" si="16"/>
        <v>6617674</v>
      </c>
      <c r="AM28" s="513">
        <f t="shared" si="16"/>
        <v>6526873</v>
      </c>
      <c r="AN28" s="513">
        <f t="shared" si="16"/>
        <v>6589589</v>
      </c>
      <c r="AO28" s="513">
        <f t="shared" si="16"/>
        <v>6537923</v>
      </c>
      <c r="AP28" s="513">
        <f t="shared" si="16"/>
        <v>6590587</v>
      </c>
      <c r="AQ28" s="513">
        <f t="shared" si="16"/>
        <v>6355835</v>
      </c>
      <c r="AR28" s="513">
        <f t="shared" si="16"/>
        <v>6388988</v>
      </c>
      <c r="AS28" s="513">
        <f>AS8+AS16+AS22</f>
        <v>6390946</v>
      </c>
      <c r="AT28" s="513">
        <f t="shared" si="16"/>
        <v>6351082</v>
      </c>
      <c r="AU28" s="513">
        <f t="shared" si="16"/>
        <v>6197312</v>
      </c>
      <c r="AV28" s="514">
        <f t="shared" si="17"/>
        <v>6005973</v>
      </c>
      <c r="AW28" s="514">
        <f t="shared" si="17"/>
        <v>5859055</v>
      </c>
      <c r="AX28" s="514">
        <v>5676571</v>
      </c>
      <c r="AY28" s="514">
        <v>5402720</v>
      </c>
      <c r="BA28" s="514">
        <v>5401764</v>
      </c>
      <c r="BB28" s="514">
        <v>4281869</v>
      </c>
      <c r="BC28" s="514">
        <v>4206940</v>
      </c>
      <c r="BD28" s="514">
        <v>3825850</v>
      </c>
      <c r="BE28" s="514">
        <v>3804786</v>
      </c>
      <c r="BF28" s="514">
        <v>3204555</v>
      </c>
      <c r="BG28" s="514">
        <v>3157255</v>
      </c>
      <c r="BH28" s="514">
        <v>3137843</v>
      </c>
      <c r="BI28" s="514">
        <v>3187348</v>
      </c>
      <c r="BJ28" s="514">
        <v>2998425</v>
      </c>
      <c r="BK28" s="514">
        <v>2913766</v>
      </c>
      <c r="BL28" s="514">
        <v>2633739</v>
      </c>
      <c r="BM28" s="514">
        <v>2483407</v>
      </c>
      <c r="BN28" s="514">
        <v>2130212</v>
      </c>
      <c r="BO28" s="514">
        <v>2411600</v>
      </c>
      <c r="BP28" s="514">
        <v>2152772</v>
      </c>
      <c r="BQ28" s="514">
        <v>1957817</v>
      </c>
      <c r="BR28" s="514">
        <v>1595596</v>
      </c>
      <c r="BS28" s="514">
        <v>1580081</v>
      </c>
      <c r="BT28" s="514">
        <v>1622466</v>
      </c>
      <c r="BU28" s="514">
        <v>1522114</v>
      </c>
      <c r="BV28" s="514">
        <v>1284655</v>
      </c>
      <c r="BW28" s="514">
        <v>1180647</v>
      </c>
      <c r="BX28" s="514">
        <v>1012619</v>
      </c>
      <c r="BY28" s="514">
        <v>1080294</v>
      </c>
      <c r="BZ28" s="514">
        <v>1043210</v>
      </c>
      <c r="CA28" s="514">
        <v>1070582</v>
      </c>
      <c r="CB28" s="514">
        <v>1174079</v>
      </c>
      <c r="CC28" s="514">
        <v>1149993</v>
      </c>
      <c r="CD28" s="514">
        <v>1011420</v>
      </c>
      <c r="CE28" s="514">
        <v>1093295</v>
      </c>
      <c r="CF28" s="514">
        <v>1056775</v>
      </c>
      <c r="CG28" s="514">
        <v>1490854</v>
      </c>
      <c r="CH28" s="514">
        <v>1306057</v>
      </c>
      <c r="CI28" s="514">
        <v>1355143</v>
      </c>
    </row>
    <row r="29" spans="1:87">
      <c r="B29" s="502" t="s">
        <v>256</v>
      </c>
      <c r="C29" s="513">
        <f>C9+C17+C23</f>
        <v>1119353</v>
      </c>
      <c r="D29" s="513">
        <f t="shared" si="16"/>
        <v>1125866</v>
      </c>
      <c r="E29" s="513">
        <f t="shared" si="16"/>
        <v>1119558</v>
      </c>
      <c r="F29" s="513">
        <f t="shared" si="16"/>
        <v>1143888</v>
      </c>
      <c r="G29" s="513">
        <f t="shared" si="16"/>
        <v>1099864</v>
      </c>
      <c r="H29" s="513">
        <f t="shared" si="16"/>
        <v>1115877</v>
      </c>
      <c r="I29" s="513">
        <f t="shared" si="16"/>
        <v>1137619</v>
      </c>
      <c r="J29" s="513">
        <f t="shared" si="16"/>
        <v>1145353</v>
      </c>
      <c r="K29" s="513">
        <f t="shared" si="16"/>
        <v>1142129</v>
      </c>
      <c r="L29" s="513">
        <f t="shared" si="16"/>
        <v>1166762</v>
      </c>
      <c r="M29" s="513">
        <f t="shared" si="16"/>
        <v>1193075</v>
      </c>
      <c r="N29" s="513">
        <f t="shared" si="16"/>
        <v>1235379</v>
      </c>
      <c r="O29" s="513">
        <f t="shared" si="16"/>
        <v>1271830</v>
      </c>
      <c r="P29" s="513">
        <f t="shared" si="16"/>
        <v>1545445</v>
      </c>
      <c r="Q29" s="513">
        <f t="shared" si="16"/>
        <v>1752008</v>
      </c>
      <c r="R29" s="513">
        <f t="shared" si="16"/>
        <v>1812095</v>
      </c>
      <c r="S29" s="513">
        <f t="shared" si="16"/>
        <v>1881245</v>
      </c>
      <c r="T29" s="513">
        <f t="shared" si="16"/>
        <v>1925068</v>
      </c>
      <c r="U29" s="513">
        <f t="shared" si="16"/>
        <v>1979074</v>
      </c>
      <c r="V29" s="513">
        <f t="shared" si="16"/>
        <v>2061983</v>
      </c>
      <c r="W29" s="513">
        <f>W9+W17+W23+1</f>
        <v>2043097</v>
      </c>
      <c r="X29" s="513">
        <f t="shared" si="16"/>
        <v>2109653</v>
      </c>
      <c r="Y29" s="513">
        <f t="shared" si="16"/>
        <v>2181499</v>
      </c>
      <c r="Z29" s="513">
        <f t="shared" si="16"/>
        <v>2253138</v>
      </c>
      <c r="AA29" s="513">
        <f>AA9+AA17+AA23</f>
        <v>2215713</v>
      </c>
      <c r="AB29" s="513">
        <f t="shared" si="16"/>
        <v>2318884</v>
      </c>
      <c r="AC29" s="513">
        <f t="shared" si="16"/>
        <v>2491443</v>
      </c>
      <c r="AD29" s="513">
        <f t="shared" si="16"/>
        <v>2597830</v>
      </c>
      <c r="AE29" s="513">
        <f t="shared" si="16"/>
        <v>3025414</v>
      </c>
      <c r="AF29" s="513">
        <f t="shared" si="16"/>
        <v>3193149</v>
      </c>
      <c r="AG29" s="513">
        <f t="shared" si="16"/>
        <v>3506701</v>
      </c>
      <c r="AH29" s="513">
        <f t="shared" si="16"/>
        <v>3628215</v>
      </c>
      <c r="AI29" s="513">
        <f t="shared" si="16"/>
        <v>3814311</v>
      </c>
      <c r="AJ29" s="513">
        <f t="shared" si="16"/>
        <v>4049418</v>
      </c>
      <c r="AK29" s="513">
        <f t="shared" si="16"/>
        <v>4270811</v>
      </c>
      <c r="AL29" s="513">
        <f t="shared" si="16"/>
        <v>4342270</v>
      </c>
      <c r="AM29" s="513">
        <f t="shared" si="16"/>
        <v>4471566</v>
      </c>
      <c r="AN29" s="513">
        <f t="shared" si="16"/>
        <v>4574948</v>
      </c>
      <c r="AO29" s="513">
        <f t="shared" si="16"/>
        <v>4689534</v>
      </c>
      <c r="AP29" s="513">
        <f t="shared" si="16"/>
        <v>4794587</v>
      </c>
      <c r="AQ29" s="513">
        <f t="shared" si="16"/>
        <v>5038988</v>
      </c>
      <c r="AR29" s="513">
        <f t="shared" si="16"/>
        <v>5143090</v>
      </c>
      <c r="AS29" s="513">
        <f>AS9+AS17+AS23</f>
        <v>5233905</v>
      </c>
      <c r="AT29" s="513">
        <f t="shared" si="16"/>
        <v>4925267</v>
      </c>
      <c r="AU29" s="513">
        <f t="shared" si="16"/>
        <v>4976250</v>
      </c>
      <c r="AV29" s="514">
        <f t="shared" si="17"/>
        <v>5030011</v>
      </c>
      <c r="AW29" s="514">
        <f t="shared" si="17"/>
        <v>5172541</v>
      </c>
      <c r="AX29" s="514">
        <v>5176224</v>
      </c>
      <c r="AY29" s="514">
        <v>5128962</v>
      </c>
      <c r="BA29" s="514">
        <v>5128962</v>
      </c>
      <c r="BB29" s="514">
        <v>6248857</v>
      </c>
      <c r="BC29" s="514">
        <v>5660815.6065599956</v>
      </c>
      <c r="BD29" s="514">
        <v>5040499</v>
      </c>
      <c r="BE29" s="514">
        <v>4983418</v>
      </c>
      <c r="BF29" s="514">
        <v>3841000</v>
      </c>
      <c r="BG29" s="514">
        <v>3789534</v>
      </c>
      <c r="BH29" s="514">
        <v>3798700</v>
      </c>
      <c r="BI29" s="514">
        <v>3327507</v>
      </c>
      <c r="BJ29" s="514">
        <v>3124116</v>
      </c>
      <c r="BK29" s="514">
        <v>3141998</v>
      </c>
      <c r="BL29" s="514">
        <v>2373856</v>
      </c>
      <c r="BM29" s="514">
        <v>2412648</v>
      </c>
      <c r="BN29" s="514">
        <v>2212728</v>
      </c>
      <c r="BO29" s="514">
        <v>2366227</v>
      </c>
      <c r="BP29" s="514">
        <v>2316945</v>
      </c>
      <c r="BQ29" s="514">
        <v>2425405</v>
      </c>
      <c r="BR29" s="514">
        <v>2428762</v>
      </c>
      <c r="BS29" s="514">
        <v>2427868</v>
      </c>
      <c r="BT29" s="514">
        <v>2465441</v>
      </c>
      <c r="BU29" s="514">
        <v>2452357</v>
      </c>
      <c r="BV29" s="514">
        <v>1706790</v>
      </c>
      <c r="BW29" s="514">
        <v>1841403</v>
      </c>
      <c r="BX29" s="514">
        <v>1491096</v>
      </c>
      <c r="BY29" s="514">
        <v>1449279</v>
      </c>
      <c r="BZ29" s="514">
        <v>1153879</v>
      </c>
      <c r="CA29" s="514">
        <v>1265805</v>
      </c>
      <c r="CB29" s="514">
        <v>1339169</v>
      </c>
      <c r="CC29" s="514">
        <v>1374542</v>
      </c>
      <c r="CD29" s="514">
        <v>1200514</v>
      </c>
      <c r="CE29" s="514">
        <v>1293960</v>
      </c>
      <c r="CF29" s="514">
        <v>1324929</v>
      </c>
      <c r="CG29" s="514">
        <v>1491526</v>
      </c>
      <c r="CH29" s="514">
        <v>1461348</v>
      </c>
      <c r="CI29" s="514">
        <v>1516928</v>
      </c>
    </row>
    <row r="30" spans="1:87">
      <c r="B30" s="502" t="s">
        <v>257</v>
      </c>
      <c r="C30" s="513">
        <f>+C10</f>
        <v>926709</v>
      </c>
      <c r="D30" s="513">
        <f t="shared" ref="D30:AU30" si="18">+D10</f>
        <v>920990</v>
      </c>
      <c r="E30" s="513">
        <f t="shared" si="18"/>
        <v>909357</v>
      </c>
      <c r="F30" s="513">
        <f t="shared" si="18"/>
        <v>953478</v>
      </c>
      <c r="G30" s="513">
        <f t="shared" si="18"/>
        <v>982882</v>
      </c>
      <c r="H30" s="513">
        <f t="shared" si="18"/>
        <v>976812</v>
      </c>
      <c r="I30" s="513">
        <f t="shared" si="18"/>
        <v>977681</v>
      </c>
      <c r="J30" s="513">
        <f t="shared" si="18"/>
        <v>981989</v>
      </c>
      <c r="K30" s="513">
        <f t="shared" si="18"/>
        <v>1019435</v>
      </c>
      <c r="L30" s="513">
        <f t="shared" si="18"/>
        <v>1011795</v>
      </c>
      <c r="M30" s="513">
        <f t="shared" si="18"/>
        <v>1010396</v>
      </c>
      <c r="N30" s="513">
        <f t="shared" si="18"/>
        <v>1022014</v>
      </c>
      <c r="O30" s="513">
        <f t="shared" si="18"/>
        <v>1047483</v>
      </c>
      <c r="P30" s="513">
        <f t="shared" si="18"/>
        <v>1054670</v>
      </c>
      <c r="Q30" s="513">
        <f t="shared" si="18"/>
        <v>1069364</v>
      </c>
      <c r="R30" s="513">
        <f t="shared" si="18"/>
        <v>1066952</v>
      </c>
      <c r="S30" s="513">
        <f t="shared" si="18"/>
        <v>1107038</v>
      </c>
      <c r="T30" s="513">
        <f t="shared" si="18"/>
        <v>1134483</v>
      </c>
      <c r="U30" s="513">
        <f t="shared" si="18"/>
        <v>1134306</v>
      </c>
      <c r="V30" s="513">
        <f t="shared" si="18"/>
        <v>1133752</v>
      </c>
      <c r="W30" s="513">
        <f t="shared" si="18"/>
        <v>1249172</v>
      </c>
      <c r="X30" s="513">
        <f t="shared" si="18"/>
        <v>1262685</v>
      </c>
      <c r="Y30" s="513">
        <f t="shared" si="18"/>
        <v>1291060</v>
      </c>
      <c r="Z30" s="513">
        <f t="shared" si="18"/>
        <v>1294072</v>
      </c>
      <c r="AA30" s="513">
        <f t="shared" si="18"/>
        <v>1262622</v>
      </c>
      <c r="AB30" s="513">
        <f t="shared" si="18"/>
        <v>1294303</v>
      </c>
      <c r="AC30" s="513">
        <f t="shared" si="18"/>
        <v>1316247</v>
      </c>
      <c r="AD30" s="513">
        <f t="shared" si="18"/>
        <v>1314798</v>
      </c>
      <c r="AE30" s="513">
        <f t="shared" si="18"/>
        <v>1466621</v>
      </c>
      <c r="AF30" s="513">
        <f t="shared" si="18"/>
        <v>1479165</v>
      </c>
      <c r="AG30" s="513">
        <f t="shared" si="18"/>
        <v>1485280</v>
      </c>
      <c r="AH30" s="513">
        <f t="shared" si="18"/>
        <v>1440681</v>
      </c>
      <c r="AI30" s="513">
        <f t="shared" si="18"/>
        <v>1454301</v>
      </c>
      <c r="AJ30" s="513">
        <f t="shared" si="18"/>
        <v>1440060</v>
      </c>
      <c r="AK30" s="513">
        <f t="shared" si="18"/>
        <v>1435423</v>
      </c>
      <c r="AL30" s="513">
        <f t="shared" si="18"/>
        <v>1352208</v>
      </c>
      <c r="AM30" s="513">
        <f t="shared" si="18"/>
        <v>1318437</v>
      </c>
      <c r="AN30" s="513">
        <f t="shared" si="18"/>
        <v>1305645</v>
      </c>
      <c r="AO30" s="513">
        <f t="shared" si="18"/>
        <v>1290408</v>
      </c>
      <c r="AP30" s="513">
        <f t="shared" si="18"/>
        <v>1283131</v>
      </c>
      <c r="AQ30" s="513">
        <f t="shared" si="18"/>
        <v>1244739</v>
      </c>
      <c r="AR30" s="513">
        <f t="shared" si="18"/>
        <v>1234035</v>
      </c>
      <c r="AS30" s="513">
        <f t="shared" si="18"/>
        <v>1194541</v>
      </c>
      <c r="AT30" s="513">
        <f t="shared" si="18"/>
        <v>1090321</v>
      </c>
      <c r="AU30" s="513">
        <f t="shared" si="18"/>
        <v>1066784</v>
      </c>
      <c r="AV30" s="514">
        <f>+AV10</f>
        <v>1043040</v>
      </c>
      <c r="AW30" s="514">
        <f>+AW10</f>
        <v>990151</v>
      </c>
      <c r="AX30" s="514">
        <v>949203</v>
      </c>
      <c r="AY30" s="514">
        <v>858628</v>
      </c>
      <c r="BA30" s="514">
        <v>858628</v>
      </c>
      <c r="BB30" s="514">
        <v>858628</v>
      </c>
      <c r="BC30" s="514">
        <v>838670</v>
      </c>
      <c r="BD30" s="514">
        <v>711570</v>
      </c>
      <c r="BE30" s="514">
        <v>705735</v>
      </c>
      <c r="BF30" s="514">
        <v>727371</v>
      </c>
      <c r="BG30" s="514">
        <v>797148</v>
      </c>
      <c r="BH30" s="514">
        <v>781349</v>
      </c>
      <c r="BI30" s="514">
        <v>474946</v>
      </c>
      <c r="BJ30" s="514">
        <v>444039</v>
      </c>
      <c r="BK30" s="514">
        <v>464166</v>
      </c>
      <c r="BL30" s="514">
        <v>312718</v>
      </c>
      <c r="BM30" s="514">
        <v>358622</v>
      </c>
      <c r="BN30" s="514">
        <v>302916</v>
      </c>
      <c r="BO30" s="514">
        <v>693358</v>
      </c>
      <c r="BP30" s="514">
        <v>645019</v>
      </c>
      <c r="BQ30" s="514">
        <v>619619</v>
      </c>
      <c r="BR30" s="514">
        <v>376542</v>
      </c>
      <c r="BS30" s="514">
        <v>369988</v>
      </c>
      <c r="BT30" s="514">
        <v>335177</v>
      </c>
      <c r="BU30" s="514">
        <v>332760</v>
      </c>
      <c r="BV30" s="514">
        <v>68495</v>
      </c>
      <c r="BW30" s="514">
        <v>66537</v>
      </c>
      <c r="BX30" s="514">
        <v>66508</v>
      </c>
      <c r="BY30" s="514">
        <v>50648</v>
      </c>
      <c r="BZ30" s="514">
        <v>49025</v>
      </c>
      <c r="CA30" s="514">
        <v>48264</v>
      </c>
      <c r="CB30" s="514">
        <v>48201</v>
      </c>
      <c r="CC30" s="514">
        <v>48868</v>
      </c>
      <c r="CD30" s="514">
        <v>38972</v>
      </c>
      <c r="CE30" s="514">
        <v>36071</v>
      </c>
      <c r="CF30" s="514">
        <v>35655</v>
      </c>
      <c r="CG30" s="514">
        <v>155963</v>
      </c>
      <c r="CH30" s="514">
        <v>27972</v>
      </c>
      <c r="CI30" s="514">
        <v>26440</v>
      </c>
    </row>
    <row r="31" spans="1:87" s="512" customFormat="1" ht="17.25" thickBot="1">
      <c r="A31" s="516"/>
      <c r="B31" s="517" t="s">
        <v>258</v>
      </c>
      <c r="C31" s="518">
        <f>+C29/C27</f>
        <v>0.48678209780843185</v>
      </c>
      <c r="D31" s="518">
        <f t="shared" ref="D31:AF31" si="19">+D29/D27</f>
        <v>0.49142758371740686</v>
      </c>
      <c r="E31" s="518">
        <f t="shared" si="19"/>
        <v>0.48568886374649528</v>
      </c>
      <c r="F31" s="518">
        <f t="shared" si="19"/>
        <v>0.48726470350191903</v>
      </c>
      <c r="G31" s="518">
        <f t="shared" si="19"/>
        <v>0.47980533199436554</v>
      </c>
      <c r="H31" s="518">
        <f t="shared" si="19"/>
        <v>0.4826647588637788</v>
      </c>
      <c r="I31" s="518">
        <f t="shared" si="19"/>
        <v>0.4654911737784232</v>
      </c>
      <c r="J31" s="518">
        <f t="shared" si="19"/>
        <v>0.46597252056970268</v>
      </c>
      <c r="K31" s="518">
        <f t="shared" si="19"/>
        <v>0.46158002578413265</v>
      </c>
      <c r="L31" s="518">
        <f t="shared" si="19"/>
        <v>0.45342031037840924</v>
      </c>
      <c r="M31" s="518">
        <f t="shared" si="19"/>
        <v>0.44039695986475164</v>
      </c>
      <c r="N31" s="518">
        <f t="shared" si="19"/>
        <v>0.44448262264316585</v>
      </c>
      <c r="O31" s="518">
        <f t="shared" si="19"/>
        <v>0.4269965006451128</v>
      </c>
      <c r="P31" s="518">
        <f t="shared" si="19"/>
        <v>0.40917175711568521</v>
      </c>
      <c r="Q31" s="518">
        <f t="shared" si="19"/>
        <v>0.39671596760892319</v>
      </c>
      <c r="R31" s="518">
        <f t="shared" si="19"/>
        <v>0.38517432900920584</v>
      </c>
      <c r="S31" s="518">
        <f t="shared" si="19"/>
        <v>0.36835486065233203</v>
      </c>
      <c r="T31" s="518">
        <f t="shared" si="19"/>
        <v>0.37073603621491302</v>
      </c>
      <c r="U31" s="518">
        <f t="shared" si="19"/>
        <v>0.36350769049919368</v>
      </c>
      <c r="V31" s="518">
        <f t="shared" si="19"/>
        <v>0.36365953145028335</v>
      </c>
      <c r="W31" s="518">
        <f t="shared" si="19"/>
        <v>0.36629148820590235</v>
      </c>
      <c r="X31" s="518">
        <f t="shared" si="19"/>
        <v>0.36141337586492223</v>
      </c>
      <c r="Y31" s="518">
        <f t="shared" si="19"/>
        <v>0.35767649699528653</v>
      </c>
      <c r="Z31" s="518">
        <f t="shared" si="19"/>
        <v>0.34518196547717678</v>
      </c>
      <c r="AA31" s="518">
        <f t="shared" si="19"/>
        <v>0.33847764807977959</v>
      </c>
      <c r="AB31" s="518">
        <f t="shared" si="19"/>
        <v>0.31702290348719397</v>
      </c>
      <c r="AC31" s="518">
        <f>+AC29/AC27</f>
        <v>0.31897435779256245</v>
      </c>
      <c r="AD31" s="518">
        <f t="shared" si="19"/>
        <v>0.31587812143086347</v>
      </c>
      <c r="AE31" s="518">
        <f t="shared" si="19"/>
        <v>0.36778556647090993</v>
      </c>
      <c r="AF31" s="518">
        <f t="shared" si="19"/>
        <v>0.36318656602254201</v>
      </c>
      <c r="AG31" s="518">
        <f>+AG29/AG27</f>
        <v>0.35794475442202051</v>
      </c>
      <c r="AH31" s="518">
        <f>+AH29/AH27</f>
        <v>0.35650466513932927</v>
      </c>
      <c r="AI31" s="518">
        <f>ROUND(+AI29/AI27,4)</f>
        <v>0.37340000000000001</v>
      </c>
      <c r="AJ31" s="518">
        <f t="shared" ref="AJ31:AP31" si="20">ROUND(+AJ29/AJ27,4)</f>
        <v>0.38490000000000002</v>
      </c>
      <c r="AK31" s="518">
        <f t="shared" si="20"/>
        <v>0.39419999999999999</v>
      </c>
      <c r="AL31" s="518">
        <f t="shared" si="20"/>
        <v>0.3962</v>
      </c>
      <c r="AM31" s="518">
        <f t="shared" si="20"/>
        <v>0.40660000000000002</v>
      </c>
      <c r="AN31" s="518">
        <f t="shared" si="20"/>
        <v>0.4098</v>
      </c>
      <c r="AO31" s="518">
        <f t="shared" si="20"/>
        <v>0.41770000000000002</v>
      </c>
      <c r="AP31" s="518">
        <f t="shared" si="20"/>
        <v>0.42109999999999997</v>
      </c>
      <c r="AQ31" s="518">
        <f t="shared" ref="AQ31:AV31" si="21">ROUND(+AQ29/AQ27,4)</f>
        <v>0.44219999999999998</v>
      </c>
      <c r="AR31" s="518">
        <f t="shared" si="21"/>
        <v>0.44600000000000001</v>
      </c>
      <c r="AS31" s="518">
        <f t="shared" si="21"/>
        <v>0.45019999999999999</v>
      </c>
      <c r="AT31" s="518">
        <f t="shared" si="21"/>
        <v>0.43680000000000002</v>
      </c>
      <c r="AU31" s="518">
        <f t="shared" si="21"/>
        <v>0.44540000000000002</v>
      </c>
      <c r="AV31" s="519">
        <f t="shared" si="21"/>
        <v>0.45579999999999998</v>
      </c>
      <c r="AW31" s="519">
        <f t="shared" ref="AW31" si="22">ROUND(+AW29/AW27,4)</f>
        <v>0.46889999999999998</v>
      </c>
      <c r="AX31" s="519">
        <v>0.47689999999999999</v>
      </c>
      <c r="AY31" s="519">
        <v>0.48699999999999999</v>
      </c>
      <c r="BA31" s="519">
        <v>0.48699999999999999</v>
      </c>
      <c r="BB31" s="519">
        <v>0.59340000000000004</v>
      </c>
      <c r="BC31" s="519">
        <v>0.57369999999999999</v>
      </c>
      <c r="BD31" s="519">
        <v>0.56850000000000001</v>
      </c>
      <c r="BE31" s="519">
        <v>0.56710000000000005</v>
      </c>
      <c r="BF31" s="519">
        <v>0.54520000000000002</v>
      </c>
      <c r="BG31" s="519">
        <v>0.54549999999999998</v>
      </c>
      <c r="BH31" s="519">
        <v>0.54759999999999998</v>
      </c>
      <c r="BI31" s="519">
        <v>0.51080000000000003</v>
      </c>
      <c r="BJ31" s="519">
        <v>0.51029999999999998</v>
      </c>
      <c r="BK31" s="519">
        <v>0.51880000000000004</v>
      </c>
      <c r="BL31" s="519">
        <v>0.47410000000000002</v>
      </c>
      <c r="BM31" s="519">
        <v>0.49280000000000002</v>
      </c>
      <c r="BN31" s="519">
        <v>0.50949999999999995</v>
      </c>
      <c r="BO31" s="519">
        <v>0.49530000000000002</v>
      </c>
      <c r="BP31" s="519">
        <v>0.51839999999999997</v>
      </c>
      <c r="BQ31" s="519">
        <v>0.55330000000000001</v>
      </c>
      <c r="BR31" s="519">
        <v>0.60350000000000004</v>
      </c>
      <c r="BS31" s="519">
        <v>0.60580000000000001</v>
      </c>
      <c r="BT31" s="519">
        <v>0.60309999999999997</v>
      </c>
      <c r="BU31" s="519">
        <v>0.61699999999999999</v>
      </c>
      <c r="BV31" s="519">
        <v>0.5706</v>
      </c>
      <c r="BW31" s="519">
        <v>0.60929999999999995</v>
      </c>
      <c r="BX31" s="519">
        <v>0.59560000000000002</v>
      </c>
      <c r="BY31" s="519">
        <v>0.57289999999999996</v>
      </c>
      <c r="BZ31" s="519">
        <v>0.5252</v>
      </c>
      <c r="CA31" s="519">
        <v>0.54179999999999995</v>
      </c>
      <c r="CB31" s="519">
        <v>0.53280000000000005</v>
      </c>
      <c r="CC31" s="519">
        <v>0.54449999999999998</v>
      </c>
      <c r="CD31" s="519">
        <v>0.54269999999999996</v>
      </c>
      <c r="CE31" s="519">
        <v>0.54200000000000004</v>
      </c>
      <c r="CF31" s="519">
        <v>0.55630000000000002</v>
      </c>
      <c r="CG31" s="519">
        <v>0.50009999999999999</v>
      </c>
      <c r="CH31" s="519">
        <v>0.52810000000000001</v>
      </c>
      <c r="CI31" s="519">
        <v>0.5282</v>
      </c>
    </row>
    <row r="32" spans="1:87" s="512" customFormat="1" ht="17.25" thickBot="1">
      <c r="A32" s="520"/>
      <c r="B32" s="521" t="s">
        <v>259</v>
      </c>
      <c r="C32" s="522">
        <f>(C29+C30)/(C27+C30)</f>
        <v>0.63420106106123486</v>
      </c>
      <c r="D32" s="522">
        <f t="shared" ref="D32:AF32" si="23">(D29+D30)/(D27+D30)</f>
        <v>0.63725260359507985</v>
      </c>
      <c r="E32" s="522">
        <f t="shared" si="23"/>
        <v>0.63118573939554201</v>
      </c>
      <c r="F32" s="522">
        <f t="shared" si="23"/>
        <v>0.6353636784439366</v>
      </c>
      <c r="G32" s="522">
        <f t="shared" si="23"/>
        <v>0.63591511345126017</v>
      </c>
      <c r="H32" s="522">
        <f t="shared" si="23"/>
        <v>0.63632305689658686</v>
      </c>
      <c r="I32" s="522">
        <f>(I29+I30)/(I27+I30)</f>
        <v>0.61822099186577473</v>
      </c>
      <c r="J32" s="522">
        <f t="shared" si="23"/>
        <v>0.61841822595700602</v>
      </c>
      <c r="K32" s="522">
        <f t="shared" si="23"/>
        <v>0.61868124476755415</v>
      </c>
      <c r="L32" s="522">
        <f t="shared" si="23"/>
        <v>0.60767980059363336</v>
      </c>
      <c r="M32" s="522">
        <f t="shared" si="23"/>
        <v>0.59241276886107386</v>
      </c>
      <c r="N32" s="522">
        <f t="shared" si="23"/>
        <v>0.59383544598827054</v>
      </c>
      <c r="O32" s="522">
        <f t="shared" si="23"/>
        <v>0.57607912704121578</v>
      </c>
      <c r="P32" s="522">
        <f t="shared" si="23"/>
        <v>0.53813913096029997</v>
      </c>
      <c r="Q32" s="522">
        <f t="shared" si="23"/>
        <v>0.5143193813960153</v>
      </c>
      <c r="R32" s="522">
        <f t="shared" si="23"/>
        <v>0.49883324479577623</v>
      </c>
      <c r="S32" s="522">
        <f t="shared" si="23"/>
        <v>0.48088037833398134</v>
      </c>
      <c r="T32" s="522">
        <f t="shared" si="23"/>
        <v>0.4835675134027918</v>
      </c>
      <c r="U32" s="522">
        <f t="shared" si="23"/>
        <v>0.4732525613777584</v>
      </c>
      <c r="V32" s="522">
        <f t="shared" si="23"/>
        <v>0.46969551330101045</v>
      </c>
      <c r="W32" s="522">
        <f t="shared" si="23"/>
        <v>0.48224510404481524</v>
      </c>
      <c r="X32" s="522">
        <f t="shared" si="23"/>
        <v>0.47498286951322655</v>
      </c>
      <c r="Y32" s="522">
        <f t="shared" si="23"/>
        <v>0.4698905731742169</v>
      </c>
      <c r="Z32" s="522">
        <f t="shared" si="23"/>
        <v>0.45352251189802828</v>
      </c>
      <c r="AA32" s="522">
        <f t="shared" si="23"/>
        <v>0.44544153578162055</v>
      </c>
      <c r="AB32" s="522">
        <f t="shared" si="23"/>
        <v>0.41970533633581936</v>
      </c>
      <c r="AC32" s="522">
        <f>(AC29+AC30)/(AC27+AC30)</f>
        <v>0.4171877829846497</v>
      </c>
      <c r="AD32" s="522">
        <f t="shared" si="23"/>
        <v>0.41017382309648093</v>
      </c>
      <c r="AE32" s="522">
        <f t="shared" si="23"/>
        <v>0.46344765640927021</v>
      </c>
      <c r="AF32" s="522">
        <f t="shared" si="23"/>
        <v>0.45489465690474334</v>
      </c>
      <c r="AG32" s="522">
        <f>(AG29+AG30)/(AG27+AG30)</f>
        <v>0.44247125033881268</v>
      </c>
      <c r="AH32" s="522">
        <f>(AH29+AH30)/(AH27+AH30)</f>
        <v>0.43630170042371796</v>
      </c>
      <c r="AI32" s="522">
        <f>ROUND((AI29+AI30)/(AI27+AI30),4)</f>
        <v>0.45150000000000001</v>
      </c>
      <c r="AJ32" s="522">
        <f t="shared" ref="AJ32:AP32" si="24">ROUND((AJ29+AJ30)/(AJ27+AJ30),4)</f>
        <v>0.45900000000000002</v>
      </c>
      <c r="AK32" s="522">
        <f t="shared" si="24"/>
        <v>0.46500000000000002</v>
      </c>
      <c r="AL32" s="522">
        <f t="shared" si="24"/>
        <v>0.46250000000000002</v>
      </c>
      <c r="AM32" s="522">
        <f t="shared" si="24"/>
        <v>0.47010000000000002</v>
      </c>
      <c r="AN32" s="522">
        <f t="shared" si="24"/>
        <v>0.47160000000000002</v>
      </c>
      <c r="AO32" s="522">
        <f t="shared" si="24"/>
        <v>0.47770000000000001</v>
      </c>
      <c r="AP32" s="522">
        <f t="shared" si="24"/>
        <v>0.4798</v>
      </c>
      <c r="AQ32" s="522">
        <f t="shared" ref="AQ32:AV32" si="25">ROUND((AQ29+AQ30)/(AQ27+AQ30),4)</f>
        <v>0.49709999999999999</v>
      </c>
      <c r="AR32" s="522">
        <f t="shared" si="25"/>
        <v>0.4995</v>
      </c>
      <c r="AS32" s="522">
        <f t="shared" si="25"/>
        <v>0.50149999999999995</v>
      </c>
      <c r="AT32" s="522">
        <f t="shared" si="25"/>
        <v>0.4864</v>
      </c>
      <c r="AU32" s="522">
        <f t="shared" si="25"/>
        <v>0.49370000000000003</v>
      </c>
      <c r="AV32" s="523">
        <f t="shared" si="25"/>
        <v>0.50280000000000002</v>
      </c>
      <c r="AW32" s="523">
        <f t="shared" ref="AW32" si="26">ROUND((AW29+AW30)/(AW27+AW30),4)</f>
        <v>0.51259999999999994</v>
      </c>
      <c r="AX32" s="523">
        <v>0.51900000000000002</v>
      </c>
      <c r="AY32" s="523">
        <v>0.52569999999999995</v>
      </c>
      <c r="BA32" s="523">
        <v>0.52569999999999995</v>
      </c>
      <c r="BB32" s="523">
        <v>0.624</v>
      </c>
      <c r="BC32" s="523">
        <v>0.60709999999999997</v>
      </c>
      <c r="BD32" s="523">
        <v>0.60060000000000002</v>
      </c>
      <c r="BE32" s="523">
        <v>0.59919999999999995</v>
      </c>
      <c r="BF32" s="523">
        <v>0.5877</v>
      </c>
      <c r="BG32" s="523">
        <v>0.59230000000000005</v>
      </c>
      <c r="BH32" s="523">
        <v>0.59340000000000004</v>
      </c>
      <c r="BI32" s="523">
        <v>0.54400000000000004</v>
      </c>
      <c r="BJ32" s="523">
        <v>0.54339999999999999</v>
      </c>
      <c r="BK32" s="523">
        <v>0.55310000000000004</v>
      </c>
      <c r="BL32" s="523">
        <v>0.505</v>
      </c>
      <c r="BM32" s="523">
        <v>0.52739999999999998</v>
      </c>
      <c r="BN32" s="523">
        <v>0.54149999999999998</v>
      </c>
      <c r="BO32" s="523">
        <v>0.55920000000000003</v>
      </c>
      <c r="BP32" s="523">
        <v>0.57909999999999995</v>
      </c>
      <c r="BQ32" s="523">
        <v>0.60870000000000002</v>
      </c>
      <c r="BR32" s="523">
        <v>0.63739999999999997</v>
      </c>
      <c r="BS32" s="523">
        <v>0.6391</v>
      </c>
      <c r="BT32" s="523">
        <v>0.63319999999999999</v>
      </c>
      <c r="BU32" s="523">
        <v>0.64659999999999995</v>
      </c>
      <c r="BV32" s="523">
        <v>0.58020000000000005</v>
      </c>
      <c r="BW32" s="523">
        <v>0.61770000000000003</v>
      </c>
      <c r="BX32" s="523">
        <v>0.60599999999999998</v>
      </c>
      <c r="BY32" s="523">
        <v>0.58130000000000004</v>
      </c>
      <c r="BZ32" s="523">
        <v>0.53549999999999998</v>
      </c>
      <c r="CA32" s="523">
        <v>0.55110000000000003</v>
      </c>
      <c r="CB32" s="523">
        <v>0.54159999999999997</v>
      </c>
      <c r="CC32" s="523">
        <v>0.55310000000000004</v>
      </c>
      <c r="CD32" s="523">
        <v>0.55069999999999997</v>
      </c>
      <c r="CE32" s="523">
        <v>0.54879999999999995</v>
      </c>
      <c r="CF32" s="523">
        <v>0.56279999999999997</v>
      </c>
      <c r="CG32" s="523">
        <v>0.52500000000000002</v>
      </c>
      <c r="CH32" s="523">
        <v>0.53280000000000005</v>
      </c>
      <c r="CI32" s="523">
        <v>0.53249999999999997</v>
      </c>
    </row>
    <row r="33" spans="1:87">
      <c r="B33" s="502"/>
      <c r="C33" s="513"/>
      <c r="D33" s="513"/>
      <c r="E33" s="513"/>
      <c r="F33" s="513"/>
      <c r="G33" s="513"/>
      <c r="H33" s="513"/>
      <c r="I33" s="513"/>
      <c r="J33" s="513"/>
      <c r="K33" s="513"/>
      <c r="L33" s="513"/>
      <c r="M33" s="513"/>
      <c r="N33" s="513"/>
      <c r="O33" s="513"/>
      <c r="P33" s="513"/>
      <c r="Q33" s="513"/>
      <c r="R33" s="513"/>
      <c r="S33" s="513"/>
      <c r="T33" s="513"/>
      <c r="U33" s="513"/>
      <c r="V33" s="513"/>
      <c r="W33" s="513"/>
      <c r="X33" s="513"/>
      <c r="Y33" s="513"/>
      <c r="Z33" s="513"/>
      <c r="AA33" s="513"/>
      <c r="AB33" s="513"/>
      <c r="AC33" s="513"/>
      <c r="AD33" s="513"/>
      <c r="AE33" s="513"/>
      <c r="AF33" s="513"/>
      <c r="AG33" s="513"/>
      <c r="AH33" s="513"/>
      <c r="AI33" s="513"/>
      <c r="AJ33" s="513"/>
      <c r="AK33" s="513"/>
      <c r="AL33" s="513"/>
      <c r="AM33" s="513"/>
      <c r="AN33" s="513"/>
      <c r="AO33" s="513"/>
      <c r="AP33" s="513"/>
      <c r="AQ33" s="513"/>
      <c r="AR33" s="513"/>
      <c r="AS33" s="513"/>
      <c r="AT33" s="513"/>
      <c r="AU33" s="513"/>
      <c r="BA33" s="514"/>
      <c r="BB33" s="514"/>
      <c r="BC33" s="514"/>
      <c r="BD33" s="514"/>
      <c r="BE33" s="514"/>
      <c r="BF33" s="514"/>
      <c r="BG33" s="514"/>
      <c r="BH33" s="514"/>
      <c r="BI33" s="514"/>
      <c r="BJ33" s="514"/>
      <c r="BK33" s="514"/>
      <c r="BL33" s="514"/>
      <c r="BM33" s="514"/>
      <c r="BN33" s="514"/>
      <c r="BO33" s="514"/>
      <c r="BP33" s="514"/>
      <c r="BQ33" s="514"/>
      <c r="BR33" s="514"/>
      <c r="BS33" s="514"/>
      <c r="BT33" s="514"/>
      <c r="BU33" s="514"/>
      <c r="BV33" s="514"/>
      <c r="BW33" s="514"/>
      <c r="BX33" s="514"/>
      <c r="BY33" s="514"/>
      <c r="BZ33" s="514"/>
      <c r="CA33" s="514"/>
      <c r="CB33" s="514"/>
      <c r="CC33" s="514"/>
      <c r="CD33" s="514"/>
      <c r="CE33" s="514"/>
      <c r="CF33" s="514"/>
      <c r="CG33" s="514"/>
      <c r="CH33" s="514"/>
      <c r="CI33" s="514"/>
    </row>
    <row r="34" spans="1:87">
      <c r="A34" s="512" t="s">
        <v>260</v>
      </c>
      <c r="B34" s="502"/>
      <c r="C34" s="513"/>
      <c r="D34" s="513"/>
      <c r="E34" s="513"/>
      <c r="F34" s="513"/>
      <c r="G34" s="513"/>
      <c r="H34" s="513"/>
      <c r="I34" s="513"/>
      <c r="J34" s="513"/>
      <c r="K34" s="513"/>
      <c r="L34" s="513"/>
      <c r="M34" s="513"/>
      <c r="N34" s="513"/>
      <c r="O34" s="513"/>
      <c r="P34" s="513"/>
      <c r="Q34" s="513"/>
      <c r="R34" s="513"/>
      <c r="S34" s="513"/>
      <c r="T34" s="513"/>
      <c r="U34" s="513"/>
      <c r="V34" s="513"/>
      <c r="W34" s="513"/>
      <c r="X34" s="513"/>
      <c r="Y34" s="513"/>
      <c r="Z34" s="513"/>
      <c r="AA34" s="513"/>
      <c r="AB34" s="513"/>
      <c r="AC34" s="513"/>
      <c r="AD34" s="513"/>
      <c r="AE34" s="513"/>
      <c r="AF34" s="513"/>
      <c r="AG34" s="513"/>
      <c r="AH34" s="513"/>
      <c r="AI34" s="513"/>
      <c r="AJ34" s="513"/>
      <c r="AK34" s="513"/>
      <c r="AL34" s="513"/>
      <c r="AM34" s="513"/>
      <c r="AN34" s="513"/>
      <c r="AO34" s="513"/>
      <c r="AP34" s="513"/>
      <c r="AQ34" s="513"/>
      <c r="AR34" s="513"/>
      <c r="AS34" s="513"/>
      <c r="AT34" s="513"/>
      <c r="AU34" s="513"/>
      <c r="BA34" s="514"/>
      <c r="BB34" s="514"/>
      <c r="BC34" s="514"/>
      <c r="BD34" s="514"/>
      <c r="BE34" s="514"/>
      <c r="BF34" s="514"/>
      <c r="BG34" s="514"/>
      <c r="BH34" s="514"/>
      <c r="BI34" s="514"/>
      <c r="BJ34" s="514"/>
      <c r="BK34" s="514"/>
      <c r="BL34" s="514"/>
      <c r="BM34" s="514"/>
      <c r="BN34" s="514"/>
      <c r="BO34" s="514"/>
      <c r="BP34" s="514"/>
      <c r="BQ34" s="514"/>
      <c r="BR34" s="514"/>
      <c r="BS34" s="514"/>
      <c r="BT34" s="514"/>
      <c r="BU34" s="514"/>
      <c r="BV34" s="514"/>
      <c r="BW34" s="514"/>
      <c r="BX34" s="514"/>
      <c r="BY34" s="514"/>
      <c r="BZ34" s="514"/>
      <c r="CA34" s="514"/>
      <c r="CB34" s="514"/>
      <c r="CC34" s="514"/>
      <c r="CD34" s="514"/>
      <c r="CE34" s="514"/>
      <c r="CF34" s="514"/>
      <c r="CG34" s="514"/>
      <c r="CH34" s="514"/>
      <c r="CI34" s="514"/>
    </row>
    <row r="35" spans="1:87">
      <c r="B35" s="502" t="s">
        <v>254</v>
      </c>
      <c r="C35" s="513">
        <v>29738881</v>
      </c>
      <c r="D35" s="513">
        <v>28342598</v>
      </c>
      <c r="E35" s="513">
        <v>28923002</v>
      </c>
      <c r="F35" s="513">
        <v>29328513</v>
      </c>
      <c r="G35" s="513">
        <v>30410449</v>
      </c>
      <c r="H35" s="513">
        <v>31390323</v>
      </c>
      <c r="I35" s="513">
        <v>32570033</v>
      </c>
      <c r="J35" s="513">
        <v>32977720</v>
      </c>
      <c r="K35" s="513">
        <v>34418434</v>
      </c>
      <c r="L35" s="513">
        <v>35182853</v>
      </c>
      <c r="M35" s="513">
        <v>37171934</v>
      </c>
      <c r="N35" s="513">
        <v>37658594</v>
      </c>
      <c r="O35" s="513">
        <v>38856875</v>
      </c>
      <c r="P35" s="513">
        <v>40682053</v>
      </c>
      <c r="Q35" s="513">
        <v>40919923</v>
      </c>
      <c r="R35" s="513">
        <v>40622455</v>
      </c>
      <c r="S35" s="513">
        <v>42614242</v>
      </c>
      <c r="T35" s="513">
        <v>42310924</v>
      </c>
      <c r="U35" s="513">
        <v>42751146</v>
      </c>
      <c r="V35" s="513">
        <v>44016465</v>
      </c>
      <c r="W35" s="513">
        <v>44594937</v>
      </c>
      <c r="X35" s="525">
        <v>44446886</v>
      </c>
      <c r="Y35" s="513">
        <v>44530687</v>
      </c>
      <c r="Z35" s="513">
        <v>44398344</v>
      </c>
      <c r="AA35" s="513">
        <v>44152679</v>
      </c>
      <c r="AB35" s="513">
        <v>43211143</v>
      </c>
      <c r="AC35" s="513">
        <v>43513503</v>
      </c>
      <c r="AD35" s="513">
        <v>43043614</v>
      </c>
      <c r="AE35" s="513">
        <v>43132706</v>
      </c>
      <c r="AF35" s="513">
        <v>43369051</v>
      </c>
      <c r="AG35" s="513">
        <v>41557838</v>
      </c>
      <c r="AH35" s="513">
        <v>40901050</v>
      </c>
      <c r="AI35" s="513">
        <v>40341356</v>
      </c>
      <c r="AJ35" s="513">
        <v>39590185</v>
      </c>
      <c r="AK35" s="513">
        <v>39054973</v>
      </c>
      <c r="AL35" s="513">
        <v>38159786</v>
      </c>
      <c r="AM35" s="513">
        <v>37603529</v>
      </c>
      <c r="AN35" s="513">
        <v>37481206</v>
      </c>
      <c r="AO35" s="513">
        <v>37096487</v>
      </c>
      <c r="AP35" s="513">
        <v>37063056</v>
      </c>
      <c r="AQ35" s="513">
        <v>37547932</v>
      </c>
      <c r="AR35" s="513">
        <v>37855442</v>
      </c>
      <c r="AS35" s="513">
        <v>37796965</v>
      </c>
      <c r="AT35" s="513">
        <v>37459298</v>
      </c>
      <c r="AU35" s="513">
        <v>39480917</v>
      </c>
      <c r="AV35" s="514">
        <v>39866101</v>
      </c>
      <c r="AW35" s="514">
        <v>41333452</v>
      </c>
      <c r="AX35" s="514">
        <v>41423178</v>
      </c>
      <c r="AY35" s="514">
        <v>42637647</v>
      </c>
      <c r="BA35" s="514">
        <v>42432925</v>
      </c>
      <c r="BB35" s="514">
        <v>42432925</v>
      </c>
      <c r="BC35" s="514">
        <v>41382994</v>
      </c>
      <c r="BD35" s="514">
        <v>42145541</v>
      </c>
      <c r="BE35" s="514">
        <v>42004205</v>
      </c>
      <c r="BF35" s="514">
        <v>44011304</v>
      </c>
      <c r="BG35" s="514">
        <v>43514400</v>
      </c>
      <c r="BH35" s="514">
        <v>43549549</v>
      </c>
      <c r="BI35" s="514">
        <v>49515118</v>
      </c>
      <c r="BJ35" s="514">
        <v>49169481</v>
      </c>
      <c r="BK35" s="514">
        <v>48263447</v>
      </c>
      <c r="BL35" s="514">
        <v>50081830</v>
      </c>
      <c r="BM35" s="514">
        <v>50571383</v>
      </c>
      <c r="BN35" s="514">
        <v>51047978</v>
      </c>
      <c r="BO35" s="514">
        <v>73339115</v>
      </c>
      <c r="BP35" s="514">
        <v>74582500</v>
      </c>
      <c r="BQ35" s="514">
        <v>74966331</v>
      </c>
      <c r="BR35" s="514">
        <v>77964420</v>
      </c>
      <c r="BS35" s="514">
        <v>77623003</v>
      </c>
      <c r="BT35" s="514">
        <v>90058210</v>
      </c>
      <c r="BU35" s="514">
        <v>89894738</v>
      </c>
      <c r="BV35" s="514">
        <v>90589650</v>
      </c>
      <c r="BW35" s="514">
        <v>88884037</v>
      </c>
      <c r="BX35" s="514">
        <v>88801474</v>
      </c>
      <c r="BY35" s="514">
        <v>86326278</v>
      </c>
      <c r="BZ35" s="514">
        <v>87834438</v>
      </c>
      <c r="CA35" s="514">
        <v>87272492</v>
      </c>
      <c r="CB35" s="514">
        <v>88426536</v>
      </c>
      <c r="CC35" s="514">
        <v>88377286</v>
      </c>
      <c r="CD35" s="514">
        <v>89747423</v>
      </c>
      <c r="CE35" s="514">
        <v>89100222</v>
      </c>
      <c r="CF35" s="514">
        <v>92226360</v>
      </c>
      <c r="CG35" s="514">
        <v>125305813</v>
      </c>
      <c r="CH35" s="514">
        <v>128253785</v>
      </c>
      <c r="CI35" s="514">
        <v>128264457</v>
      </c>
    </row>
    <row r="36" spans="1:87">
      <c r="B36" s="502" t="s">
        <v>255</v>
      </c>
      <c r="C36" s="513">
        <v>29446251</v>
      </c>
      <c r="D36" s="513">
        <v>28089339</v>
      </c>
      <c r="E36" s="513">
        <v>28623853</v>
      </c>
      <c r="F36" s="513">
        <v>29026798</v>
      </c>
      <c r="G36" s="513">
        <v>30081565</v>
      </c>
      <c r="H36" s="513">
        <v>31060561</v>
      </c>
      <c r="I36" s="513">
        <v>32229454</v>
      </c>
      <c r="J36" s="513">
        <v>32627650</v>
      </c>
      <c r="K36" s="513">
        <v>34058570</v>
      </c>
      <c r="L36" s="513">
        <v>34818729</v>
      </c>
      <c r="M36" s="513">
        <v>36789319</v>
      </c>
      <c r="N36" s="513">
        <v>37276721</v>
      </c>
      <c r="O36" s="513">
        <v>38506716</v>
      </c>
      <c r="P36" s="513">
        <v>40308405</v>
      </c>
      <c r="Q36" s="513">
        <v>40547488</v>
      </c>
      <c r="R36" s="513">
        <v>40255822</v>
      </c>
      <c r="S36" s="513">
        <v>42215693</v>
      </c>
      <c r="T36" s="513">
        <v>41893316</v>
      </c>
      <c r="U36" s="513">
        <v>42335302</v>
      </c>
      <c r="V36" s="513">
        <v>43603087</v>
      </c>
      <c r="W36" s="513">
        <v>44245336</v>
      </c>
      <c r="X36" s="513">
        <v>44102592</v>
      </c>
      <c r="Y36" s="513">
        <v>44203573</v>
      </c>
      <c r="Z36" s="513">
        <v>44076739</v>
      </c>
      <c r="AA36" s="513">
        <v>43855887</v>
      </c>
      <c r="AB36" s="513">
        <v>42927678</v>
      </c>
      <c r="AC36" s="513">
        <v>43220597</v>
      </c>
      <c r="AD36" s="513">
        <v>42742989</v>
      </c>
      <c r="AE36" s="513">
        <v>42848122</v>
      </c>
      <c r="AF36" s="513">
        <v>43085583</v>
      </c>
      <c r="AG36" s="513">
        <v>41320362</v>
      </c>
      <c r="AH36" s="513">
        <v>40658503</v>
      </c>
      <c r="AI36" s="513">
        <v>40115120</v>
      </c>
      <c r="AJ36" s="513">
        <v>39379089</v>
      </c>
      <c r="AK36" s="513">
        <v>38852354</v>
      </c>
      <c r="AL36" s="513">
        <v>37963244</v>
      </c>
      <c r="AM36" s="513">
        <v>37392808</v>
      </c>
      <c r="AN36" s="513">
        <v>37275523</v>
      </c>
      <c r="AO36" s="513">
        <v>36888555</v>
      </c>
      <c r="AP36" s="513">
        <v>36859196</v>
      </c>
      <c r="AQ36" s="513">
        <v>37346726</v>
      </c>
      <c r="AR36" s="513">
        <v>37659440</v>
      </c>
      <c r="AS36" s="513">
        <v>37598763</v>
      </c>
      <c r="AT36" s="513">
        <v>37279118</v>
      </c>
      <c r="AU36" s="513">
        <v>39296867</v>
      </c>
      <c r="AV36" s="514">
        <v>39687797</v>
      </c>
      <c r="AW36" s="514">
        <v>41137654</v>
      </c>
      <c r="AX36" s="514">
        <v>41230643</v>
      </c>
      <c r="AY36" s="514">
        <v>42412088</v>
      </c>
      <c r="BA36" s="514">
        <v>42207366</v>
      </c>
      <c r="BB36" s="514">
        <v>42186835.190286987</v>
      </c>
      <c r="BC36" s="514">
        <v>41196644</v>
      </c>
      <c r="BD36" s="514">
        <v>41976515</v>
      </c>
      <c r="BE36" s="514">
        <v>41842851</v>
      </c>
      <c r="BF36" s="514">
        <v>43846387</v>
      </c>
      <c r="BG36" s="514">
        <v>43354416</v>
      </c>
      <c r="BH36" s="514">
        <v>43403981</v>
      </c>
      <c r="BI36" s="514">
        <v>49308713</v>
      </c>
      <c r="BJ36" s="514">
        <v>49007613</v>
      </c>
      <c r="BK36" s="514">
        <v>48120358</v>
      </c>
      <c r="BL36" s="514">
        <v>49920665</v>
      </c>
      <c r="BM36" s="514">
        <v>50405935</v>
      </c>
      <c r="BN36" s="514">
        <v>50875667</v>
      </c>
      <c r="BO36" s="514">
        <v>72955814</v>
      </c>
      <c r="BP36" s="514">
        <v>74137530</v>
      </c>
      <c r="BQ36" s="514">
        <v>74524941</v>
      </c>
      <c r="BR36" s="514">
        <v>77517318</v>
      </c>
      <c r="BS36" s="514">
        <v>77129091</v>
      </c>
      <c r="BT36" s="514">
        <v>89459818</v>
      </c>
      <c r="BU36" s="514">
        <v>89279358</v>
      </c>
      <c r="BV36" s="514">
        <v>89890180</v>
      </c>
      <c r="BW36" s="514">
        <v>88220297</v>
      </c>
      <c r="BX36" s="514">
        <v>88082370</v>
      </c>
      <c r="BY36" s="514">
        <v>85591768</v>
      </c>
      <c r="BZ36" s="514">
        <v>87181144</v>
      </c>
      <c r="CA36" s="514">
        <v>86638151</v>
      </c>
      <c r="CB36" s="514">
        <v>87788409</v>
      </c>
      <c r="CC36" s="514">
        <v>87727982</v>
      </c>
      <c r="CD36" s="514">
        <v>89124969</v>
      </c>
      <c r="CE36" s="514">
        <v>88505585</v>
      </c>
      <c r="CF36" s="514">
        <v>91644057</v>
      </c>
      <c r="CG36" s="514">
        <v>124437046</v>
      </c>
      <c r="CH36" s="514">
        <v>127432008</v>
      </c>
      <c r="CI36" s="514">
        <v>127445081</v>
      </c>
    </row>
    <row r="37" spans="1:87">
      <c r="B37" s="502" t="s">
        <v>256</v>
      </c>
      <c r="C37" s="513">
        <f>+C35-C36</f>
        <v>292630</v>
      </c>
      <c r="D37" s="513">
        <f t="shared" ref="D37:AC37" si="27">+D35-D36</f>
        <v>253259</v>
      </c>
      <c r="E37" s="513">
        <f t="shared" si="27"/>
        <v>299149</v>
      </c>
      <c r="F37" s="513">
        <f>+F35-F36</f>
        <v>301715</v>
      </c>
      <c r="G37" s="513">
        <f t="shared" si="27"/>
        <v>328884</v>
      </c>
      <c r="H37" s="513">
        <f t="shared" si="27"/>
        <v>329762</v>
      </c>
      <c r="I37" s="513">
        <f t="shared" si="27"/>
        <v>340579</v>
      </c>
      <c r="J37" s="513">
        <f t="shared" si="27"/>
        <v>350070</v>
      </c>
      <c r="K37" s="513">
        <f t="shared" si="27"/>
        <v>359864</v>
      </c>
      <c r="L37" s="513">
        <f t="shared" si="27"/>
        <v>364124</v>
      </c>
      <c r="M37" s="513">
        <f t="shared" si="27"/>
        <v>382615</v>
      </c>
      <c r="N37" s="513">
        <f t="shared" si="27"/>
        <v>381873</v>
      </c>
      <c r="O37" s="513">
        <f t="shared" si="27"/>
        <v>350159</v>
      </c>
      <c r="P37" s="513">
        <f t="shared" si="27"/>
        <v>373648</v>
      </c>
      <c r="Q37" s="513">
        <f t="shared" si="27"/>
        <v>372435</v>
      </c>
      <c r="R37" s="513">
        <f>+R35-R36</f>
        <v>366633</v>
      </c>
      <c r="S37" s="513">
        <f t="shared" si="27"/>
        <v>398549</v>
      </c>
      <c r="T37" s="513">
        <f t="shared" si="27"/>
        <v>417608</v>
      </c>
      <c r="U37" s="513">
        <f t="shared" si="27"/>
        <v>415844</v>
      </c>
      <c r="V37" s="513">
        <f t="shared" si="27"/>
        <v>413378</v>
      </c>
      <c r="W37" s="513">
        <f t="shared" si="27"/>
        <v>349601</v>
      </c>
      <c r="X37" s="513">
        <f t="shared" si="27"/>
        <v>344294</v>
      </c>
      <c r="Y37" s="513">
        <f t="shared" si="27"/>
        <v>327114</v>
      </c>
      <c r="Z37" s="513">
        <f t="shared" si="27"/>
        <v>321605</v>
      </c>
      <c r="AA37" s="513">
        <f t="shared" si="27"/>
        <v>296792</v>
      </c>
      <c r="AB37" s="513">
        <f t="shared" si="27"/>
        <v>283465</v>
      </c>
      <c r="AC37" s="513">
        <f t="shared" si="27"/>
        <v>292906</v>
      </c>
      <c r="AD37" s="513">
        <f t="shared" ref="AD37:AV37" si="28">+AD35-AD36</f>
        <v>300625</v>
      </c>
      <c r="AE37" s="513">
        <f t="shared" si="28"/>
        <v>284584</v>
      </c>
      <c r="AF37" s="513">
        <f t="shared" si="28"/>
        <v>283468</v>
      </c>
      <c r="AG37" s="513">
        <f t="shared" si="28"/>
        <v>237476</v>
      </c>
      <c r="AH37" s="513">
        <f t="shared" si="28"/>
        <v>242547</v>
      </c>
      <c r="AI37" s="513">
        <f t="shared" si="28"/>
        <v>226236</v>
      </c>
      <c r="AJ37" s="513">
        <f t="shared" si="28"/>
        <v>211096</v>
      </c>
      <c r="AK37" s="513">
        <f t="shared" si="28"/>
        <v>202619</v>
      </c>
      <c r="AL37" s="513">
        <f t="shared" si="28"/>
        <v>196542</v>
      </c>
      <c r="AM37" s="513">
        <f t="shared" si="28"/>
        <v>210721</v>
      </c>
      <c r="AN37" s="513">
        <f t="shared" si="28"/>
        <v>205683</v>
      </c>
      <c r="AO37" s="513">
        <f t="shared" si="28"/>
        <v>207932</v>
      </c>
      <c r="AP37" s="513">
        <f t="shared" si="28"/>
        <v>203860</v>
      </c>
      <c r="AQ37" s="513">
        <f t="shared" si="28"/>
        <v>201206</v>
      </c>
      <c r="AR37" s="513">
        <f t="shared" si="28"/>
        <v>196002</v>
      </c>
      <c r="AS37" s="513">
        <f t="shared" si="28"/>
        <v>198202</v>
      </c>
      <c r="AT37" s="513">
        <f t="shared" si="28"/>
        <v>180180</v>
      </c>
      <c r="AU37" s="513">
        <f t="shared" si="28"/>
        <v>184050</v>
      </c>
      <c r="AV37" s="514">
        <f t="shared" si="28"/>
        <v>178304</v>
      </c>
      <c r="AW37" s="514">
        <v>195798</v>
      </c>
      <c r="AX37" s="514">
        <v>192535</v>
      </c>
      <c r="AY37" s="514">
        <v>225559</v>
      </c>
      <c r="BA37" s="514">
        <v>225559</v>
      </c>
      <c r="BB37" s="514">
        <v>246089.80971301347</v>
      </c>
      <c r="BC37" s="514">
        <v>186350</v>
      </c>
      <c r="BD37" s="514">
        <v>169031</v>
      </c>
      <c r="BE37" s="514">
        <v>161354</v>
      </c>
      <c r="BF37" s="514">
        <v>164917</v>
      </c>
      <c r="BG37" s="514">
        <v>159984</v>
      </c>
      <c r="BH37" s="514">
        <v>145568</v>
      </c>
      <c r="BI37" s="514">
        <v>206405</v>
      </c>
      <c r="BJ37" s="514">
        <v>161868</v>
      </c>
      <c r="BK37" s="514">
        <v>143089</v>
      </c>
      <c r="BL37" s="514">
        <v>161165</v>
      </c>
      <c r="BM37" s="514">
        <v>165448</v>
      </c>
      <c r="BN37" s="514">
        <v>172311</v>
      </c>
      <c r="BO37" s="514">
        <v>383301</v>
      </c>
      <c r="BP37" s="514">
        <v>444970</v>
      </c>
      <c r="BQ37" s="514">
        <v>441390</v>
      </c>
      <c r="BR37" s="514">
        <v>447102</v>
      </c>
      <c r="BS37" s="514">
        <v>493912</v>
      </c>
      <c r="BT37" s="514">
        <v>598392</v>
      </c>
      <c r="BU37" s="514">
        <v>615380</v>
      </c>
      <c r="BV37" s="514">
        <v>699470</v>
      </c>
      <c r="BW37" s="514">
        <v>663740</v>
      </c>
      <c r="BX37" s="514">
        <v>719104</v>
      </c>
      <c r="BY37" s="514">
        <v>734510</v>
      </c>
      <c r="BZ37" s="514">
        <v>653294</v>
      </c>
      <c r="CA37" s="514">
        <v>634341</v>
      </c>
      <c r="CB37" s="514">
        <v>638127</v>
      </c>
      <c r="CC37" s="514">
        <v>649304</v>
      </c>
      <c r="CD37" s="514">
        <v>622454</v>
      </c>
      <c r="CE37" s="514">
        <v>594637</v>
      </c>
      <c r="CF37" s="514">
        <v>582303</v>
      </c>
      <c r="CG37" s="514">
        <v>868767</v>
      </c>
      <c r="CH37" s="514">
        <v>821777</v>
      </c>
      <c r="CI37" s="514">
        <v>819376</v>
      </c>
    </row>
    <row r="38" spans="1:87" s="512" customFormat="1" ht="17.25" thickBot="1">
      <c r="A38" s="516"/>
      <c r="B38" s="517" t="s">
        <v>258</v>
      </c>
      <c r="C38" s="518">
        <f>+C37/C35</f>
        <v>9.8399801929332856E-3</v>
      </c>
      <c r="D38" s="518">
        <f t="shared" ref="D38:AF38" si="29">+D37/D35</f>
        <v>8.9356310949334997E-3</v>
      </c>
      <c r="E38" s="518">
        <f t="shared" si="29"/>
        <v>1.0342944345818597E-2</v>
      </c>
      <c r="F38" s="518">
        <f t="shared" si="29"/>
        <v>1.0287429164922203E-2</v>
      </c>
      <c r="G38" s="518">
        <f t="shared" si="29"/>
        <v>1.0814835387665601E-2</v>
      </c>
      <c r="H38" s="518">
        <f t="shared" si="29"/>
        <v>1.0505212068063142E-2</v>
      </c>
      <c r="I38" s="518">
        <f t="shared" si="29"/>
        <v>1.0456820845100157E-2</v>
      </c>
      <c r="J38" s="518">
        <f t="shared" si="29"/>
        <v>1.0615348786999223E-2</v>
      </c>
      <c r="K38" s="518">
        <f t="shared" si="29"/>
        <v>1.0455559947904661E-2</v>
      </c>
      <c r="L38" s="518">
        <f t="shared" si="29"/>
        <v>1.034947336419818E-2</v>
      </c>
      <c r="M38" s="518">
        <f t="shared" si="29"/>
        <v>1.0293115230431648E-2</v>
      </c>
      <c r="N38" s="518">
        <f t="shared" si="29"/>
        <v>1.0140394513932198E-2</v>
      </c>
      <c r="O38" s="518">
        <f t="shared" si="29"/>
        <v>9.0115069727043154E-3</v>
      </c>
      <c r="P38" s="518">
        <f t="shared" si="29"/>
        <v>9.1845905613465468E-3</v>
      </c>
      <c r="Q38" s="518">
        <f t="shared" si="29"/>
        <v>9.101556716028034E-3</v>
      </c>
      <c r="R38" s="518">
        <f t="shared" si="29"/>
        <v>9.0253777128930287E-3</v>
      </c>
      <c r="S38" s="518">
        <f t="shared" si="29"/>
        <v>9.3524836133422242E-3</v>
      </c>
      <c r="T38" s="518">
        <f t="shared" si="29"/>
        <v>9.8699806224983415E-3</v>
      </c>
      <c r="U38" s="518">
        <f t="shared" si="29"/>
        <v>9.7270842751209525E-3</v>
      </c>
      <c r="V38" s="518">
        <f t="shared" si="29"/>
        <v>9.3914402258336738E-3</v>
      </c>
      <c r="W38" s="518">
        <f t="shared" si="29"/>
        <v>7.8394773828248717E-3</v>
      </c>
      <c r="X38" s="518">
        <f t="shared" si="29"/>
        <v>7.746189463081846E-3</v>
      </c>
      <c r="Y38" s="518">
        <f t="shared" si="29"/>
        <v>7.3458107664047491E-3</v>
      </c>
      <c r="Z38" s="518">
        <f t="shared" si="29"/>
        <v>7.243626023529166E-3</v>
      </c>
      <c r="AA38" s="518">
        <f t="shared" si="29"/>
        <v>6.7219477214508321E-3</v>
      </c>
      <c r="AB38" s="518">
        <f t="shared" si="29"/>
        <v>6.5599977302150973E-3</v>
      </c>
      <c r="AC38" s="518">
        <f t="shared" si="29"/>
        <v>6.7313817506257766E-3</v>
      </c>
      <c r="AD38" s="518">
        <f t="shared" si="29"/>
        <v>6.9841951468108607E-3</v>
      </c>
      <c r="AE38" s="518">
        <f t="shared" si="29"/>
        <v>6.5978703028741117E-3</v>
      </c>
      <c r="AF38" s="518">
        <f t="shared" si="29"/>
        <v>6.5361817578161903E-3</v>
      </c>
      <c r="AG38" s="518">
        <f>+AG37/AG35</f>
        <v>5.7143492402083095E-3</v>
      </c>
      <c r="AH38" s="518">
        <f>+AH37/AH35</f>
        <v>5.9300922592451779E-3</v>
      </c>
      <c r="AI38" s="518">
        <f>ROUND(+AI37/AI35,4)</f>
        <v>5.5999999999999999E-3</v>
      </c>
      <c r="AJ38" s="518">
        <f t="shared" ref="AJ38:AP38" si="30">ROUND(+AJ37/AJ35,4)</f>
        <v>5.3E-3</v>
      </c>
      <c r="AK38" s="518">
        <f t="shared" si="30"/>
        <v>5.1999999999999998E-3</v>
      </c>
      <c r="AL38" s="518">
        <f t="shared" si="30"/>
        <v>5.1999999999999998E-3</v>
      </c>
      <c r="AM38" s="518">
        <f t="shared" si="30"/>
        <v>5.5999999999999999E-3</v>
      </c>
      <c r="AN38" s="518">
        <f t="shared" si="30"/>
        <v>5.4999999999999997E-3</v>
      </c>
      <c r="AO38" s="518">
        <f t="shared" si="30"/>
        <v>5.5999999999999999E-3</v>
      </c>
      <c r="AP38" s="518">
        <f t="shared" si="30"/>
        <v>5.4999999999999997E-3</v>
      </c>
      <c r="AQ38" s="518">
        <f t="shared" ref="AQ38:AU38" si="31">ROUND(+AQ37/AQ35,4)</f>
        <v>5.4000000000000003E-3</v>
      </c>
      <c r="AR38" s="518">
        <f t="shared" si="31"/>
        <v>5.1999999999999998E-3</v>
      </c>
      <c r="AS38" s="518">
        <f t="shared" si="31"/>
        <v>5.1999999999999998E-3</v>
      </c>
      <c r="AT38" s="518">
        <f t="shared" si="31"/>
        <v>4.7999999999999996E-3</v>
      </c>
      <c r="AU38" s="518">
        <f t="shared" si="31"/>
        <v>4.7000000000000002E-3</v>
      </c>
      <c r="AV38" s="519">
        <f>ROUND(+AV37/AV35,4)</f>
        <v>4.4999999999999997E-3</v>
      </c>
      <c r="AW38" s="519">
        <f>ROUND(+AW37/AW35,4)</f>
        <v>4.7000000000000002E-3</v>
      </c>
      <c r="AX38" s="519">
        <v>4.5999999999999999E-3</v>
      </c>
      <c r="AY38" s="519">
        <v>5.3E-3</v>
      </c>
      <c r="BA38" s="519">
        <v>5.3E-3</v>
      </c>
      <c r="BB38" s="519">
        <v>5.7999999999999996E-3</v>
      </c>
      <c r="BC38" s="519">
        <v>4.4999999999999997E-3</v>
      </c>
      <c r="BD38" s="519">
        <v>4.0000000000000001E-3</v>
      </c>
      <c r="BE38" s="519">
        <v>3.8E-3</v>
      </c>
      <c r="BF38" s="519">
        <v>3.7000000000000002E-3</v>
      </c>
      <c r="BG38" s="519">
        <v>3.7000000000000002E-3</v>
      </c>
      <c r="BH38" s="519">
        <v>3.3E-3</v>
      </c>
      <c r="BI38" s="519">
        <v>4.1999999999999997E-3</v>
      </c>
      <c r="BJ38" s="519">
        <v>3.3E-3</v>
      </c>
      <c r="BK38" s="519">
        <v>3.0000000000000001E-3</v>
      </c>
      <c r="BL38" s="519">
        <v>3.2000000000000002E-3</v>
      </c>
      <c r="BM38" s="519">
        <v>3.3E-3</v>
      </c>
      <c r="BN38" s="519">
        <v>3.3999999999999998E-3</v>
      </c>
      <c r="BO38" s="519">
        <v>5.1999999999999998E-3</v>
      </c>
      <c r="BP38" s="519">
        <v>6.0000000000000001E-3</v>
      </c>
      <c r="BQ38" s="519">
        <v>5.8999999999999999E-3</v>
      </c>
      <c r="BR38" s="519">
        <v>5.7000000000000002E-3</v>
      </c>
      <c r="BS38" s="519">
        <v>6.4000000000000003E-3</v>
      </c>
      <c r="BT38" s="519">
        <v>6.6E-3</v>
      </c>
      <c r="BU38" s="519">
        <v>6.7999999999999996E-3</v>
      </c>
      <c r="BV38" s="519">
        <v>7.7000000000000002E-3</v>
      </c>
      <c r="BW38" s="519">
        <v>7.4999999999999997E-3</v>
      </c>
      <c r="BX38" s="519">
        <v>8.0999999999999996E-3</v>
      </c>
      <c r="BY38" s="519">
        <v>8.5000000000000006E-3</v>
      </c>
      <c r="BZ38" s="519">
        <v>7.4000000000000003E-3</v>
      </c>
      <c r="CA38" s="519">
        <v>7.3000000000000001E-3</v>
      </c>
      <c r="CB38" s="519">
        <v>7.1999999999999998E-3</v>
      </c>
      <c r="CC38" s="519">
        <v>7.3000000000000001E-3</v>
      </c>
      <c r="CD38" s="519">
        <v>6.8999999999999999E-3</v>
      </c>
      <c r="CE38" s="519">
        <v>6.7000000000000002E-3</v>
      </c>
      <c r="CF38" s="519">
        <v>6.3E-3</v>
      </c>
      <c r="CG38" s="519">
        <v>6.8999999999999999E-3</v>
      </c>
      <c r="CH38" s="519">
        <v>6.4000000000000003E-3</v>
      </c>
      <c r="CI38" s="519">
        <v>6.4000000000000003E-3</v>
      </c>
    </row>
    <row r="39" spans="1:87" ht="9.75" customHeight="1">
      <c r="B39" s="502"/>
      <c r="C39" s="513"/>
      <c r="D39" s="513"/>
      <c r="E39" s="513"/>
      <c r="F39" s="513"/>
      <c r="G39" s="513"/>
      <c r="H39" s="513"/>
      <c r="I39" s="513"/>
      <c r="J39" s="513"/>
      <c r="K39" s="513"/>
      <c r="L39" s="513"/>
      <c r="M39" s="513"/>
      <c r="N39" s="513"/>
      <c r="O39" s="513"/>
      <c r="P39" s="513"/>
      <c r="Q39" s="513"/>
      <c r="R39" s="513"/>
      <c r="S39" s="513"/>
      <c r="T39" s="513"/>
      <c r="U39" s="513"/>
      <c r="V39" s="513"/>
      <c r="W39" s="513"/>
      <c r="X39" s="513"/>
      <c r="Y39" s="513"/>
      <c r="Z39" s="513"/>
      <c r="AA39" s="513"/>
      <c r="AB39" s="513"/>
      <c r="AC39" s="513"/>
      <c r="AD39" s="513"/>
      <c r="AE39" s="513"/>
      <c r="AF39" s="513"/>
      <c r="AG39" s="513"/>
      <c r="AH39" s="513"/>
      <c r="AI39" s="513"/>
      <c r="AJ39" s="513"/>
      <c r="AK39" s="513"/>
      <c r="AL39" s="513"/>
      <c r="AM39" s="513"/>
      <c r="AN39" s="513"/>
      <c r="AO39" s="513"/>
      <c r="AP39" s="513"/>
      <c r="AQ39" s="513"/>
      <c r="AR39" s="513"/>
      <c r="AS39" s="513"/>
      <c r="AT39" s="513"/>
      <c r="AU39" s="513"/>
      <c r="BA39" s="514"/>
      <c r="BB39" s="514"/>
      <c r="BC39" s="514"/>
      <c r="BD39" s="514"/>
      <c r="BE39" s="514"/>
      <c r="BF39" s="514"/>
      <c r="BG39" s="514"/>
      <c r="BH39" s="514"/>
      <c r="BI39" s="514"/>
      <c r="BJ39" s="514"/>
      <c r="BK39" s="514"/>
      <c r="BL39" s="514"/>
      <c r="BM39" s="514"/>
      <c r="BN39" s="514"/>
      <c r="BO39" s="514"/>
      <c r="BP39" s="514"/>
      <c r="BQ39" s="514"/>
      <c r="BR39" s="514"/>
      <c r="BS39" s="514"/>
      <c r="BT39" s="514"/>
      <c r="BU39" s="514"/>
      <c r="BV39" s="514"/>
      <c r="BW39" s="514"/>
      <c r="BX39" s="514"/>
      <c r="BY39" s="514"/>
      <c r="BZ39" s="514"/>
      <c r="CA39" s="514"/>
      <c r="CB39" s="514"/>
      <c r="CC39" s="514"/>
      <c r="CD39" s="514"/>
      <c r="CE39" s="514"/>
      <c r="CF39" s="514"/>
      <c r="CG39" s="514"/>
      <c r="CH39" s="514"/>
      <c r="CI39" s="514"/>
    </row>
    <row r="40" spans="1:87">
      <c r="A40" s="524" t="s">
        <v>261</v>
      </c>
      <c r="B40" s="502"/>
      <c r="C40" s="513"/>
      <c r="D40" s="513"/>
      <c r="E40" s="513"/>
      <c r="F40" s="513"/>
      <c r="G40" s="513"/>
      <c r="H40" s="513"/>
      <c r="I40" s="513"/>
      <c r="J40" s="513"/>
      <c r="K40" s="513"/>
      <c r="L40" s="513"/>
      <c r="M40" s="513"/>
      <c r="N40" s="513"/>
      <c r="O40" s="513"/>
      <c r="P40" s="513"/>
      <c r="Q40" s="513"/>
      <c r="R40" s="513"/>
      <c r="S40" s="513"/>
      <c r="T40" s="513"/>
      <c r="U40" s="513"/>
      <c r="V40" s="513"/>
      <c r="W40" s="513"/>
      <c r="X40" s="513"/>
      <c r="Y40" s="513"/>
      <c r="Z40" s="513"/>
      <c r="AA40" s="513"/>
      <c r="AB40" s="513"/>
      <c r="AC40" s="513"/>
      <c r="AD40" s="513"/>
      <c r="AE40" s="513"/>
      <c r="AF40" s="513"/>
      <c r="AG40" s="513"/>
      <c r="AH40" s="513"/>
      <c r="AI40" s="513"/>
      <c r="AJ40" s="513"/>
      <c r="AK40" s="513"/>
      <c r="AL40" s="513"/>
      <c r="AM40" s="513"/>
      <c r="AN40" s="513"/>
      <c r="AO40" s="513"/>
      <c r="AP40" s="513"/>
      <c r="AQ40" s="513"/>
      <c r="AR40" s="513"/>
      <c r="AS40" s="513"/>
      <c r="AT40" s="513"/>
      <c r="AU40" s="513"/>
      <c r="BA40" s="514"/>
      <c r="BB40" s="514"/>
      <c r="BC40" s="514"/>
      <c r="BD40" s="514"/>
      <c r="BE40" s="514"/>
      <c r="BF40" s="514"/>
      <c r="BG40" s="514"/>
      <c r="BH40" s="514"/>
      <c r="BI40" s="514"/>
      <c r="BJ40" s="514"/>
      <c r="BK40" s="514"/>
      <c r="BL40" s="514"/>
      <c r="BM40" s="514"/>
      <c r="BN40" s="514"/>
      <c r="BO40" s="514"/>
      <c r="BP40" s="514"/>
      <c r="BQ40" s="514"/>
      <c r="BR40" s="514"/>
      <c r="BS40" s="514"/>
      <c r="BT40" s="514"/>
      <c r="BU40" s="514"/>
      <c r="BV40" s="514"/>
      <c r="BW40" s="514"/>
      <c r="BX40" s="514"/>
      <c r="BY40" s="514"/>
      <c r="BZ40" s="514"/>
      <c r="CA40" s="514"/>
      <c r="CB40" s="514"/>
      <c r="CC40" s="514"/>
      <c r="CD40" s="514"/>
      <c r="CE40" s="514"/>
      <c r="CF40" s="514"/>
      <c r="CG40" s="514"/>
      <c r="CH40" s="514"/>
      <c r="CI40" s="514"/>
    </row>
    <row r="41" spans="1:87">
      <c r="B41" s="502" t="s">
        <v>254</v>
      </c>
      <c r="C41" s="513">
        <f>+C35+C27</f>
        <v>32038376</v>
      </c>
      <c r="D41" s="513">
        <f t="shared" ref="D41:AF42" si="32">+D35+D27</f>
        <v>30633609</v>
      </c>
      <c r="E41" s="513">
        <f t="shared" si="32"/>
        <v>31228095</v>
      </c>
      <c r="F41" s="513">
        <f t="shared" si="32"/>
        <v>31676083</v>
      </c>
      <c r="G41" s="513">
        <f>+G35+G27</f>
        <v>32702762</v>
      </c>
      <c r="H41" s="513">
        <f t="shared" si="32"/>
        <v>33702232</v>
      </c>
      <c r="I41" s="513">
        <f t="shared" si="32"/>
        <v>35013944</v>
      </c>
      <c r="J41" s="513">
        <f t="shared" si="32"/>
        <v>35435704</v>
      </c>
      <c r="K41" s="513">
        <f t="shared" si="32"/>
        <v>36892824</v>
      </c>
      <c r="L41" s="513">
        <f t="shared" si="32"/>
        <v>37756099</v>
      </c>
      <c r="M41" s="513">
        <f t="shared" si="32"/>
        <v>39881024</v>
      </c>
      <c r="N41" s="513">
        <f t="shared" si="32"/>
        <v>40437958</v>
      </c>
      <c r="O41" s="513">
        <f t="shared" si="32"/>
        <v>41835424</v>
      </c>
      <c r="P41" s="513">
        <f t="shared" si="32"/>
        <v>44459061</v>
      </c>
      <c r="Q41" s="513">
        <f t="shared" si="32"/>
        <v>45336201</v>
      </c>
      <c r="R41" s="513">
        <f t="shared" si="32"/>
        <v>45327065</v>
      </c>
      <c r="S41" s="513">
        <f t="shared" si="32"/>
        <v>47721396</v>
      </c>
      <c r="T41" s="513">
        <f t="shared" si="32"/>
        <v>47503481</v>
      </c>
      <c r="U41" s="513">
        <f t="shared" si="32"/>
        <v>48195526</v>
      </c>
      <c r="V41" s="513">
        <f t="shared" si="32"/>
        <v>49686557</v>
      </c>
      <c r="W41" s="513">
        <f t="shared" si="32"/>
        <v>50172727</v>
      </c>
      <c r="X41" s="525">
        <f t="shared" si="32"/>
        <v>50284116</v>
      </c>
      <c r="Y41" s="513">
        <f t="shared" si="32"/>
        <v>50629771</v>
      </c>
      <c r="Z41" s="513">
        <f t="shared" si="32"/>
        <v>50925736</v>
      </c>
      <c r="AA41" s="513">
        <f t="shared" si="32"/>
        <v>50698792.200000003</v>
      </c>
      <c r="AB41" s="513">
        <f>+AB35+AB27</f>
        <v>50525706</v>
      </c>
      <c r="AC41" s="513">
        <f t="shared" si="32"/>
        <v>51324297</v>
      </c>
      <c r="AD41" s="513">
        <f t="shared" si="32"/>
        <v>51267767</v>
      </c>
      <c r="AE41" s="513">
        <f t="shared" si="32"/>
        <v>51358733</v>
      </c>
      <c r="AF41" s="513">
        <f>+AF35+AF27</f>
        <v>52161086</v>
      </c>
      <c r="AG41" s="513">
        <f>+AG35+AG27</f>
        <v>51354604</v>
      </c>
      <c r="AH41" s="513">
        <f>+AH35+AH27</f>
        <v>51078238</v>
      </c>
      <c r="AI41" s="513">
        <f t="shared" ref="AG41:AP42" si="33">+AI35+AI27</f>
        <v>50555285</v>
      </c>
      <c r="AJ41" s="513">
        <f>+AJ35+AJ27</f>
        <v>50109832</v>
      </c>
      <c r="AK41" s="513">
        <f t="shared" si="33"/>
        <v>49890063</v>
      </c>
      <c r="AL41" s="513">
        <f>+AL35+AL27</f>
        <v>49119730</v>
      </c>
      <c r="AM41" s="513">
        <f t="shared" si="33"/>
        <v>48601968</v>
      </c>
      <c r="AN41" s="513">
        <f t="shared" si="33"/>
        <v>48645743</v>
      </c>
      <c r="AO41" s="513">
        <f t="shared" si="33"/>
        <v>48323944</v>
      </c>
      <c r="AP41" s="513">
        <f t="shared" si="33"/>
        <v>48448230</v>
      </c>
      <c r="AQ41" s="513">
        <f>+AQ35+AQ27</f>
        <v>48942755</v>
      </c>
      <c r="AR41" s="513">
        <f t="shared" ref="AR41:AT42" si="34">+AR35+AR27</f>
        <v>49387520</v>
      </c>
      <c r="AS41" s="513">
        <f t="shared" si="34"/>
        <v>49421816</v>
      </c>
      <c r="AT41" s="513">
        <f t="shared" si="34"/>
        <v>48735647</v>
      </c>
      <c r="AU41" s="513">
        <f t="shared" ref="AU41:AW42" si="35">+AU35+AU27</f>
        <v>50654479</v>
      </c>
      <c r="AV41" s="514">
        <f t="shared" si="35"/>
        <v>50902085</v>
      </c>
      <c r="AW41" s="514">
        <f t="shared" si="35"/>
        <v>52365048</v>
      </c>
      <c r="AX41" s="514">
        <v>52275973</v>
      </c>
      <c r="AY41" s="514">
        <v>53169329</v>
      </c>
      <c r="BA41" s="514">
        <v>52963651</v>
      </c>
      <c r="BB41" s="514">
        <v>52963651</v>
      </c>
      <c r="BC41" s="514">
        <v>51250749.606559992</v>
      </c>
      <c r="BD41" s="514">
        <v>51011890</v>
      </c>
      <c r="BE41" s="514">
        <v>50792409</v>
      </c>
      <c r="BF41" s="514">
        <v>51056859</v>
      </c>
      <c r="BG41" s="514">
        <v>50461189</v>
      </c>
      <c r="BH41" s="514">
        <v>50486092</v>
      </c>
      <c r="BI41" s="514">
        <v>56029973</v>
      </c>
      <c r="BJ41" s="514">
        <v>55292022</v>
      </c>
      <c r="BK41" s="514">
        <v>54319211</v>
      </c>
      <c r="BL41" s="514">
        <v>55089425</v>
      </c>
      <c r="BM41" s="514">
        <v>55467438</v>
      </c>
      <c r="BN41" s="514">
        <v>55390918</v>
      </c>
      <c r="BO41" s="514">
        <v>78116942</v>
      </c>
      <c r="BP41" s="514">
        <v>79052217</v>
      </c>
      <c r="BQ41" s="514">
        <v>79349553</v>
      </c>
      <c r="BR41" s="514">
        <v>81988778</v>
      </c>
      <c r="BS41" s="514">
        <v>81630952</v>
      </c>
      <c r="BT41" s="514">
        <v>94146117</v>
      </c>
      <c r="BU41" s="514">
        <v>93869209</v>
      </c>
      <c r="BV41" s="514">
        <v>93581095</v>
      </c>
      <c r="BW41" s="514">
        <v>91906087</v>
      </c>
      <c r="BX41" s="514">
        <v>91305189</v>
      </c>
      <c r="BY41" s="514">
        <v>88855851</v>
      </c>
      <c r="BZ41" s="514">
        <v>90031527</v>
      </c>
      <c r="CA41" s="514">
        <v>89608879</v>
      </c>
      <c r="CB41" s="514">
        <v>90939784</v>
      </c>
      <c r="CC41" s="514">
        <v>90901821</v>
      </c>
      <c r="CD41" s="514">
        <v>91959357</v>
      </c>
      <c r="CE41" s="514">
        <v>91487477</v>
      </c>
      <c r="CF41" s="514">
        <v>94608064</v>
      </c>
      <c r="CG41" s="514">
        <v>128288193</v>
      </c>
      <c r="CH41" s="514">
        <v>131021190</v>
      </c>
      <c r="CI41" s="514">
        <v>131136528</v>
      </c>
    </row>
    <row r="42" spans="1:87">
      <c r="B42" s="502" t="s">
        <v>255</v>
      </c>
      <c r="C42" s="513">
        <f>+C36+C28</f>
        <v>30626393</v>
      </c>
      <c r="D42" s="513">
        <f t="shared" si="32"/>
        <v>29254484</v>
      </c>
      <c r="E42" s="513">
        <f>+E36+E28</f>
        <v>29809388</v>
      </c>
      <c r="F42" s="513">
        <f t="shared" si="32"/>
        <v>30230480</v>
      </c>
      <c r="G42" s="513">
        <f t="shared" si="32"/>
        <v>31274014</v>
      </c>
      <c r="H42" s="513">
        <f>+H36+H28</f>
        <v>32256593</v>
      </c>
      <c r="I42" s="513">
        <f t="shared" si="32"/>
        <v>33535746</v>
      </c>
      <c r="J42" s="513">
        <f t="shared" si="32"/>
        <v>33940281</v>
      </c>
      <c r="K42" s="513">
        <f t="shared" si="32"/>
        <v>35390831</v>
      </c>
      <c r="L42" s="513">
        <f t="shared" si="32"/>
        <v>36225213</v>
      </c>
      <c r="M42" s="513">
        <f t="shared" si="32"/>
        <v>38305334</v>
      </c>
      <c r="N42" s="513">
        <f t="shared" si="32"/>
        <v>38820706</v>
      </c>
      <c r="O42" s="513">
        <f t="shared" si="32"/>
        <v>40213435</v>
      </c>
      <c r="P42" s="513">
        <f t="shared" si="32"/>
        <v>42539968</v>
      </c>
      <c r="Q42" s="513">
        <f t="shared" si="32"/>
        <v>43211758</v>
      </c>
      <c r="R42" s="513">
        <f t="shared" si="32"/>
        <v>43148337</v>
      </c>
      <c r="S42" s="513">
        <f t="shared" si="32"/>
        <v>45441602</v>
      </c>
      <c r="T42" s="513">
        <f t="shared" si="32"/>
        <v>45160805</v>
      </c>
      <c r="U42" s="513">
        <f t="shared" si="32"/>
        <v>45800608</v>
      </c>
      <c r="V42" s="513">
        <f t="shared" si="32"/>
        <v>47211196</v>
      </c>
      <c r="W42" s="513">
        <f t="shared" si="32"/>
        <v>47780029</v>
      </c>
      <c r="X42" s="513">
        <f t="shared" si="32"/>
        <v>47830169</v>
      </c>
      <c r="Y42" s="513">
        <f t="shared" si="32"/>
        <v>48121158</v>
      </c>
      <c r="Z42" s="513">
        <f t="shared" si="32"/>
        <v>48350993</v>
      </c>
      <c r="AA42" s="513">
        <f t="shared" si="32"/>
        <v>48186287.200000003</v>
      </c>
      <c r="AB42" s="513">
        <f t="shared" si="32"/>
        <v>47923357</v>
      </c>
      <c r="AC42" s="513">
        <f t="shared" si="32"/>
        <v>48539948</v>
      </c>
      <c r="AD42" s="513">
        <f t="shared" si="32"/>
        <v>48369312</v>
      </c>
      <c r="AE42" s="513">
        <f t="shared" si="32"/>
        <v>48048735</v>
      </c>
      <c r="AF42" s="513">
        <f t="shared" si="32"/>
        <v>48684469</v>
      </c>
      <c r="AG42" s="513">
        <f t="shared" si="33"/>
        <v>47610427</v>
      </c>
      <c r="AH42" s="513">
        <f t="shared" si="33"/>
        <v>47207476</v>
      </c>
      <c r="AI42" s="513">
        <f t="shared" si="33"/>
        <v>46514738</v>
      </c>
      <c r="AJ42" s="513">
        <f t="shared" si="33"/>
        <v>45849318</v>
      </c>
      <c r="AK42" s="513">
        <f t="shared" si="33"/>
        <v>45416633</v>
      </c>
      <c r="AL42" s="513">
        <f t="shared" si="33"/>
        <v>44580918</v>
      </c>
      <c r="AM42" s="513">
        <f t="shared" si="33"/>
        <v>43919681</v>
      </c>
      <c r="AN42" s="513">
        <f t="shared" si="33"/>
        <v>43865112</v>
      </c>
      <c r="AO42" s="513">
        <f t="shared" si="33"/>
        <v>43426478</v>
      </c>
      <c r="AP42" s="513">
        <f t="shared" si="33"/>
        <v>43449783</v>
      </c>
      <c r="AQ42" s="513">
        <f>+AQ36+AQ28</f>
        <v>43702561</v>
      </c>
      <c r="AR42" s="513">
        <f t="shared" si="34"/>
        <v>44048428</v>
      </c>
      <c r="AS42" s="513">
        <f t="shared" si="34"/>
        <v>43989709</v>
      </c>
      <c r="AT42" s="513">
        <f t="shared" si="34"/>
        <v>43630200</v>
      </c>
      <c r="AU42" s="513">
        <f t="shared" si="35"/>
        <v>45494179</v>
      </c>
      <c r="AV42" s="514">
        <f t="shared" si="35"/>
        <v>45693770</v>
      </c>
      <c r="AW42" s="514">
        <f t="shared" si="35"/>
        <v>46996709</v>
      </c>
      <c r="AX42" s="514">
        <v>46907214</v>
      </c>
      <c r="AY42" s="514">
        <v>47814808</v>
      </c>
      <c r="BA42" s="514">
        <v>47609130</v>
      </c>
      <c r="BB42" s="514">
        <v>46468704.190286987</v>
      </c>
      <c r="BC42" s="514">
        <v>45403584</v>
      </c>
      <c r="BD42" s="514">
        <v>45802365</v>
      </c>
      <c r="BE42" s="514">
        <v>45647637</v>
      </c>
      <c r="BF42" s="514">
        <v>47050942</v>
      </c>
      <c r="BG42" s="514">
        <v>46511671</v>
      </c>
      <c r="BH42" s="514">
        <v>46541824</v>
      </c>
      <c r="BI42" s="514">
        <v>52496061</v>
      </c>
      <c r="BJ42" s="514">
        <v>52006038</v>
      </c>
      <c r="BK42" s="514">
        <v>51034124</v>
      </c>
      <c r="BL42" s="514">
        <v>52554404</v>
      </c>
      <c r="BM42" s="514">
        <v>52889342</v>
      </c>
      <c r="BN42" s="514">
        <v>53005879</v>
      </c>
      <c r="BO42" s="514">
        <v>75367414</v>
      </c>
      <c r="BP42" s="514">
        <v>76290302</v>
      </c>
      <c r="BQ42" s="514">
        <v>76482758</v>
      </c>
      <c r="BR42" s="514">
        <v>79112914</v>
      </c>
      <c r="BS42" s="514">
        <v>78709172</v>
      </c>
      <c r="BT42" s="514">
        <v>91082284</v>
      </c>
      <c r="BU42" s="514">
        <v>90801472</v>
      </c>
      <c r="BV42" s="514">
        <v>91174835</v>
      </c>
      <c r="BW42" s="514">
        <v>89400944</v>
      </c>
      <c r="BX42" s="514">
        <v>89094989</v>
      </c>
      <c r="BY42" s="514">
        <v>86672062</v>
      </c>
      <c r="BZ42" s="514">
        <v>88224354</v>
      </c>
      <c r="CA42" s="514">
        <v>87708733</v>
      </c>
      <c r="CB42" s="514">
        <v>88962488</v>
      </c>
      <c r="CC42" s="514">
        <v>88877975</v>
      </c>
      <c r="CD42" s="514">
        <v>90136389</v>
      </c>
      <c r="CE42" s="514">
        <v>89598880</v>
      </c>
      <c r="CF42" s="514">
        <v>92700832</v>
      </c>
      <c r="CG42" s="514">
        <v>125927900</v>
      </c>
      <c r="CH42" s="514">
        <v>128738065</v>
      </c>
      <c r="CI42" s="514">
        <v>128800224</v>
      </c>
    </row>
    <row r="43" spans="1:87">
      <c r="B43" s="502" t="s">
        <v>256</v>
      </c>
      <c r="C43" s="513">
        <f>+C41-C42</f>
        <v>1411983</v>
      </c>
      <c r="D43" s="513">
        <f t="shared" ref="D43:AF43" si="36">+D41-D42</f>
        <v>1379125</v>
      </c>
      <c r="E43" s="513">
        <f t="shared" si="36"/>
        <v>1418707</v>
      </c>
      <c r="F43" s="513">
        <f t="shared" si="36"/>
        <v>1445603</v>
      </c>
      <c r="G43" s="513">
        <f t="shared" si="36"/>
        <v>1428748</v>
      </c>
      <c r="H43" s="513">
        <f t="shared" si="36"/>
        <v>1445639</v>
      </c>
      <c r="I43" s="513">
        <f t="shared" si="36"/>
        <v>1478198</v>
      </c>
      <c r="J43" s="513">
        <f t="shared" si="36"/>
        <v>1495423</v>
      </c>
      <c r="K43" s="513">
        <f t="shared" si="36"/>
        <v>1501993</v>
      </c>
      <c r="L43" s="513">
        <f t="shared" si="36"/>
        <v>1530886</v>
      </c>
      <c r="M43" s="513">
        <f t="shared" si="36"/>
        <v>1575690</v>
      </c>
      <c r="N43" s="513">
        <f t="shared" si="36"/>
        <v>1617252</v>
      </c>
      <c r="O43" s="513">
        <f t="shared" si="36"/>
        <v>1621989</v>
      </c>
      <c r="P43" s="513">
        <f t="shared" si="36"/>
        <v>1919093</v>
      </c>
      <c r="Q43" s="513">
        <f t="shared" si="36"/>
        <v>2124443</v>
      </c>
      <c r="R43" s="513">
        <f t="shared" si="36"/>
        <v>2178728</v>
      </c>
      <c r="S43" s="513">
        <f>+S41-S42</f>
        <v>2279794</v>
      </c>
      <c r="T43" s="513">
        <f t="shared" si="36"/>
        <v>2342676</v>
      </c>
      <c r="U43" s="513">
        <f t="shared" si="36"/>
        <v>2394918</v>
      </c>
      <c r="V43" s="513">
        <f t="shared" si="36"/>
        <v>2475361</v>
      </c>
      <c r="W43" s="513">
        <f t="shared" si="36"/>
        <v>2392698</v>
      </c>
      <c r="X43" s="513">
        <f t="shared" si="36"/>
        <v>2453947</v>
      </c>
      <c r="Y43" s="513">
        <f t="shared" si="36"/>
        <v>2508613</v>
      </c>
      <c r="Z43" s="513">
        <f t="shared" si="36"/>
        <v>2574743</v>
      </c>
      <c r="AA43" s="513">
        <f>+AA41-AA42</f>
        <v>2512505</v>
      </c>
      <c r="AB43" s="513">
        <f t="shared" si="36"/>
        <v>2602349</v>
      </c>
      <c r="AC43" s="513">
        <f t="shared" si="36"/>
        <v>2784349</v>
      </c>
      <c r="AD43" s="513">
        <f t="shared" si="36"/>
        <v>2898455</v>
      </c>
      <c r="AE43" s="513">
        <f t="shared" si="36"/>
        <v>3309998</v>
      </c>
      <c r="AF43" s="513">
        <f t="shared" si="36"/>
        <v>3476617</v>
      </c>
      <c r="AG43" s="513">
        <f t="shared" ref="AG43" si="37">+AG41-AG42</f>
        <v>3744177</v>
      </c>
      <c r="AH43" s="513">
        <f t="shared" ref="AH43:AU43" si="38">+AH41-AH42</f>
        <v>3870762</v>
      </c>
      <c r="AI43" s="513">
        <f t="shared" si="38"/>
        <v>4040547</v>
      </c>
      <c r="AJ43" s="513">
        <f t="shared" si="38"/>
        <v>4260514</v>
      </c>
      <c r="AK43" s="513">
        <f t="shared" si="38"/>
        <v>4473430</v>
      </c>
      <c r="AL43" s="513">
        <f t="shared" si="38"/>
        <v>4538812</v>
      </c>
      <c r="AM43" s="513">
        <f t="shared" si="38"/>
        <v>4682287</v>
      </c>
      <c r="AN43" s="513">
        <f t="shared" si="38"/>
        <v>4780631</v>
      </c>
      <c r="AO43" s="513">
        <f t="shared" si="38"/>
        <v>4897466</v>
      </c>
      <c r="AP43" s="513">
        <f t="shared" si="38"/>
        <v>4998447</v>
      </c>
      <c r="AQ43" s="513">
        <f t="shared" si="38"/>
        <v>5240194</v>
      </c>
      <c r="AR43" s="513">
        <f t="shared" si="38"/>
        <v>5339092</v>
      </c>
      <c r="AS43" s="513">
        <f t="shared" si="38"/>
        <v>5432107</v>
      </c>
      <c r="AT43" s="513">
        <f t="shared" si="38"/>
        <v>5105447</v>
      </c>
      <c r="AU43" s="513">
        <f t="shared" si="38"/>
        <v>5160300</v>
      </c>
      <c r="AV43" s="514">
        <f>+AV41-AV42</f>
        <v>5208315</v>
      </c>
      <c r="AW43" s="514">
        <f>+AW41-AW42</f>
        <v>5368339</v>
      </c>
      <c r="AX43" s="514">
        <v>5368759</v>
      </c>
      <c r="AY43" s="514">
        <v>5354521</v>
      </c>
      <c r="BA43" s="514">
        <v>5354521</v>
      </c>
      <c r="BB43" s="514">
        <v>6494946.8097130135</v>
      </c>
      <c r="BC43" s="514">
        <v>5847165.6065599918</v>
      </c>
      <c r="BD43" s="514">
        <v>5209530</v>
      </c>
      <c r="BE43" s="514">
        <v>5144772</v>
      </c>
      <c r="BF43" s="514">
        <v>4005917</v>
      </c>
      <c r="BG43" s="514">
        <v>3949518</v>
      </c>
      <c r="BH43" s="514">
        <v>3944268</v>
      </c>
      <c r="BI43" s="514">
        <v>3533912</v>
      </c>
      <c r="BJ43" s="514">
        <v>3285984</v>
      </c>
      <c r="BK43" s="514">
        <v>3285087</v>
      </c>
      <c r="BL43" s="514">
        <v>2535021</v>
      </c>
      <c r="BM43" s="514">
        <v>2578096</v>
      </c>
      <c r="BN43" s="514">
        <v>2385039</v>
      </c>
      <c r="BO43" s="514">
        <v>2749528</v>
      </c>
      <c r="BP43" s="514">
        <v>2761915</v>
      </c>
      <c r="BQ43" s="514">
        <v>2866795</v>
      </c>
      <c r="BR43" s="514">
        <v>2875864</v>
      </c>
      <c r="BS43" s="514">
        <v>2921780</v>
      </c>
      <c r="BT43" s="514">
        <v>3063833</v>
      </c>
      <c r="BU43" s="514">
        <v>3067737</v>
      </c>
      <c r="BV43" s="514">
        <v>2406260</v>
      </c>
      <c r="BW43" s="514">
        <v>2505143</v>
      </c>
      <c r="BX43" s="514">
        <v>2210200</v>
      </c>
      <c r="BY43" s="514">
        <v>2183789</v>
      </c>
      <c r="BZ43" s="514">
        <v>1807173</v>
      </c>
      <c r="CA43" s="514">
        <v>1900146</v>
      </c>
      <c r="CB43" s="514">
        <v>1977296</v>
      </c>
      <c r="CC43" s="514">
        <v>2023846</v>
      </c>
      <c r="CD43" s="514">
        <v>1822968</v>
      </c>
      <c r="CE43" s="514">
        <v>1888597</v>
      </c>
      <c r="CF43" s="514">
        <v>1907232</v>
      </c>
      <c r="CG43" s="514">
        <v>2360293</v>
      </c>
      <c r="CH43" s="514">
        <v>2283125</v>
      </c>
      <c r="CI43" s="514">
        <v>2336304</v>
      </c>
    </row>
    <row r="44" spans="1:87">
      <c r="B44" s="502" t="s">
        <v>257</v>
      </c>
      <c r="C44" s="513">
        <f>+C30</f>
        <v>926709</v>
      </c>
      <c r="D44" s="513">
        <f t="shared" ref="D44:AF44" si="39">+D30</f>
        <v>920990</v>
      </c>
      <c r="E44" s="513">
        <f t="shared" si="39"/>
        <v>909357</v>
      </c>
      <c r="F44" s="513">
        <f t="shared" si="39"/>
        <v>953478</v>
      </c>
      <c r="G44" s="513">
        <f t="shared" si="39"/>
        <v>982882</v>
      </c>
      <c r="H44" s="513">
        <f t="shared" si="39"/>
        <v>976812</v>
      </c>
      <c r="I44" s="513">
        <f t="shared" si="39"/>
        <v>977681</v>
      </c>
      <c r="J44" s="513">
        <f t="shared" si="39"/>
        <v>981989</v>
      </c>
      <c r="K44" s="513">
        <f t="shared" si="39"/>
        <v>1019435</v>
      </c>
      <c r="L44" s="513">
        <f t="shared" si="39"/>
        <v>1011795</v>
      </c>
      <c r="M44" s="513">
        <f t="shared" si="39"/>
        <v>1010396</v>
      </c>
      <c r="N44" s="513">
        <f t="shared" si="39"/>
        <v>1022014</v>
      </c>
      <c r="O44" s="513">
        <f t="shared" si="39"/>
        <v>1047483</v>
      </c>
      <c r="P44" s="513">
        <f t="shared" si="39"/>
        <v>1054670</v>
      </c>
      <c r="Q44" s="513">
        <f t="shared" si="39"/>
        <v>1069364</v>
      </c>
      <c r="R44" s="513">
        <f t="shared" si="39"/>
        <v>1066952</v>
      </c>
      <c r="S44" s="513">
        <f t="shared" si="39"/>
        <v>1107038</v>
      </c>
      <c r="T44" s="513">
        <f t="shared" si="39"/>
        <v>1134483</v>
      </c>
      <c r="U44" s="513">
        <f t="shared" si="39"/>
        <v>1134306</v>
      </c>
      <c r="V44" s="513">
        <f t="shared" si="39"/>
        <v>1133752</v>
      </c>
      <c r="W44" s="513">
        <f t="shared" si="39"/>
        <v>1249172</v>
      </c>
      <c r="X44" s="513">
        <f t="shared" si="39"/>
        <v>1262685</v>
      </c>
      <c r="Y44" s="513">
        <f t="shared" si="39"/>
        <v>1291060</v>
      </c>
      <c r="Z44" s="513">
        <f t="shared" si="39"/>
        <v>1294072</v>
      </c>
      <c r="AA44" s="513">
        <f t="shared" si="39"/>
        <v>1262622</v>
      </c>
      <c r="AB44" s="513">
        <f t="shared" si="39"/>
        <v>1294303</v>
      </c>
      <c r="AC44" s="513">
        <f t="shared" si="39"/>
        <v>1316247</v>
      </c>
      <c r="AD44" s="513">
        <f t="shared" si="39"/>
        <v>1314798</v>
      </c>
      <c r="AE44" s="513">
        <f t="shared" si="39"/>
        <v>1466621</v>
      </c>
      <c r="AF44" s="513">
        <f t="shared" si="39"/>
        <v>1479165</v>
      </c>
      <c r="AG44" s="513">
        <f t="shared" ref="AG44" si="40">+AG30</f>
        <v>1485280</v>
      </c>
      <c r="AH44" s="513">
        <f t="shared" ref="AH44:AU44" si="41">+AH30</f>
        <v>1440681</v>
      </c>
      <c r="AI44" s="513">
        <f t="shared" si="41"/>
        <v>1454301</v>
      </c>
      <c r="AJ44" s="513">
        <f t="shared" si="41"/>
        <v>1440060</v>
      </c>
      <c r="AK44" s="513">
        <f t="shared" si="41"/>
        <v>1435423</v>
      </c>
      <c r="AL44" s="513">
        <f t="shared" si="41"/>
        <v>1352208</v>
      </c>
      <c r="AM44" s="513">
        <f t="shared" si="41"/>
        <v>1318437</v>
      </c>
      <c r="AN44" s="513">
        <f t="shared" si="41"/>
        <v>1305645</v>
      </c>
      <c r="AO44" s="513">
        <f t="shared" si="41"/>
        <v>1290408</v>
      </c>
      <c r="AP44" s="513">
        <f t="shared" si="41"/>
        <v>1283131</v>
      </c>
      <c r="AQ44" s="513">
        <f t="shared" si="41"/>
        <v>1244739</v>
      </c>
      <c r="AR44" s="513">
        <f t="shared" si="41"/>
        <v>1234035</v>
      </c>
      <c r="AS44" s="513">
        <f t="shared" si="41"/>
        <v>1194541</v>
      </c>
      <c r="AT44" s="513">
        <f t="shared" si="41"/>
        <v>1090321</v>
      </c>
      <c r="AU44" s="513">
        <f t="shared" si="41"/>
        <v>1066784</v>
      </c>
      <c r="AV44" s="514">
        <f>+AV30</f>
        <v>1043040</v>
      </c>
      <c r="AW44" s="514">
        <f>+AW30</f>
        <v>990151</v>
      </c>
      <c r="AX44" s="514">
        <v>949203</v>
      </c>
      <c r="AY44" s="514">
        <v>858628</v>
      </c>
      <c r="BA44" s="514">
        <v>858628</v>
      </c>
      <c r="BB44" s="514">
        <v>858628</v>
      </c>
      <c r="BC44" s="514">
        <v>838670</v>
      </c>
      <c r="BD44" s="514">
        <v>711570</v>
      </c>
      <c r="BE44" s="514">
        <v>705735</v>
      </c>
      <c r="BF44" s="514">
        <v>727371</v>
      </c>
      <c r="BG44" s="514">
        <v>797148</v>
      </c>
      <c r="BH44" s="514">
        <v>781349</v>
      </c>
      <c r="BI44" s="514">
        <v>474946</v>
      </c>
      <c r="BJ44" s="514">
        <v>444039</v>
      </c>
      <c r="BK44" s="514">
        <v>464166</v>
      </c>
      <c r="BL44" s="514">
        <v>312718</v>
      </c>
      <c r="BM44" s="514">
        <v>358622</v>
      </c>
      <c r="BN44" s="514">
        <v>302916</v>
      </c>
      <c r="BO44" s="514">
        <v>693358</v>
      </c>
      <c r="BP44" s="514">
        <v>645019</v>
      </c>
      <c r="BQ44" s="514">
        <v>619619</v>
      </c>
      <c r="BR44" s="514">
        <v>376542</v>
      </c>
      <c r="BS44" s="514">
        <v>369988</v>
      </c>
      <c r="BT44" s="514">
        <v>335177</v>
      </c>
      <c r="BU44" s="514">
        <v>332760</v>
      </c>
      <c r="BV44" s="514">
        <v>68495</v>
      </c>
      <c r="BW44" s="514">
        <v>66537</v>
      </c>
      <c r="BX44" s="514">
        <v>66508</v>
      </c>
      <c r="BY44" s="514">
        <v>50648</v>
      </c>
      <c r="BZ44" s="514">
        <v>49025</v>
      </c>
      <c r="CA44" s="514">
        <v>48264</v>
      </c>
      <c r="CB44" s="514">
        <v>48201</v>
      </c>
      <c r="CC44" s="514">
        <v>48868</v>
      </c>
      <c r="CD44" s="514">
        <v>38972</v>
      </c>
      <c r="CE44" s="514">
        <v>36071</v>
      </c>
      <c r="CF44" s="514">
        <v>35655</v>
      </c>
      <c r="CG44" s="514">
        <v>155963</v>
      </c>
      <c r="CH44" s="514">
        <v>27972</v>
      </c>
      <c r="CI44" s="514">
        <v>26440</v>
      </c>
    </row>
    <row r="45" spans="1:87" s="512" customFormat="1" ht="17.25" thickBot="1">
      <c r="A45" s="516"/>
      <c r="B45" s="517" t="s">
        <v>258</v>
      </c>
      <c r="C45" s="518">
        <f>+C43/C41</f>
        <v>4.4071615864674292E-2</v>
      </c>
      <c r="D45" s="518">
        <f t="shared" ref="D45:AF45" si="42">+D43/D41</f>
        <v>4.5019997480544978E-2</v>
      </c>
      <c r="E45" s="518">
        <f t="shared" si="42"/>
        <v>4.543046894150924E-2</v>
      </c>
      <c r="F45" s="518">
        <f t="shared" si="42"/>
        <v>4.563705051536833E-2</v>
      </c>
      <c r="G45" s="518">
        <f t="shared" si="42"/>
        <v>4.36889092120109E-2</v>
      </c>
      <c r="H45" s="518">
        <f t="shared" si="42"/>
        <v>4.2894458740892885E-2</v>
      </c>
      <c r="I45" s="518">
        <f t="shared" si="42"/>
        <v>4.2217409155620972E-2</v>
      </c>
      <c r="J45" s="518">
        <f t="shared" si="42"/>
        <v>4.2201024142204148E-2</v>
      </c>
      <c r="K45" s="518">
        <f t="shared" si="42"/>
        <v>4.0712334734798288E-2</v>
      </c>
      <c r="L45" s="518">
        <f t="shared" si="42"/>
        <v>4.0546720676836873E-2</v>
      </c>
      <c r="M45" s="518">
        <f t="shared" si="42"/>
        <v>3.9509767853503464E-2</v>
      </c>
      <c r="N45" s="518">
        <f t="shared" si="42"/>
        <v>3.9993414108595693E-2</v>
      </c>
      <c r="O45" s="518">
        <f t="shared" si="42"/>
        <v>3.8770707809726038E-2</v>
      </c>
      <c r="P45" s="518">
        <f t="shared" si="42"/>
        <v>4.3165396588110576E-2</v>
      </c>
      <c r="Q45" s="518">
        <f t="shared" si="42"/>
        <v>4.6859749011612155E-2</v>
      </c>
      <c r="R45" s="518">
        <f t="shared" si="42"/>
        <v>4.8066822769133627E-2</v>
      </c>
      <c r="S45" s="518">
        <f t="shared" si="42"/>
        <v>4.7772994738041613E-2</v>
      </c>
      <c r="T45" s="518">
        <f t="shared" si="42"/>
        <v>4.931588066146142E-2</v>
      </c>
      <c r="U45" s="518">
        <f t="shared" si="42"/>
        <v>4.9691707898363843E-2</v>
      </c>
      <c r="V45" s="518">
        <f t="shared" si="42"/>
        <v>4.9819531669300414E-2</v>
      </c>
      <c r="W45" s="518">
        <f t="shared" si="42"/>
        <v>4.7689215696806751E-2</v>
      </c>
      <c r="X45" s="518">
        <f t="shared" si="42"/>
        <v>4.8801633501919371E-2</v>
      </c>
      <c r="Y45" s="518">
        <f t="shared" si="42"/>
        <v>4.9548179864372682E-2</v>
      </c>
      <c r="Z45" s="518">
        <f t="shared" si="42"/>
        <v>5.0558778374847638E-2</v>
      </c>
      <c r="AA45" s="518">
        <f t="shared" si="42"/>
        <v>4.9557492219706172E-2</v>
      </c>
      <c r="AB45" s="518">
        <f t="shared" si="42"/>
        <v>5.1505445564679495E-2</v>
      </c>
      <c r="AC45" s="518">
        <f t="shared" si="42"/>
        <v>5.4250114716622423E-2</v>
      </c>
      <c r="AD45" s="518">
        <f t="shared" si="42"/>
        <v>5.653562012950554E-2</v>
      </c>
      <c r="AE45" s="518">
        <f t="shared" si="42"/>
        <v>6.4448591440135414E-2</v>
      </c>
      <c r="AF45" s="518">
        <f t="shared" si="42"/>
        <v>6.6651545560228564E-2</v>
      </c>
      <c r="AG45" s="518">
        <f>+AG43/AG41</f>
        <v>7.2908302437693806E-2</v>
      </c>
      <c r="AH45" s="518">
        <f>+AH43/AH41</f>
        <v>7.5781040058586199E-2</v>
      </c>
      <c r="AI45" s="518">
        <f>ROUND(+AI43/AI41,4)</f>
        <v>7.9899999999999999E-2</v>
      </c>
      <c r="AJ45" s="518">
        <f t="shared" ref="AJ45:AP45" si="43">ROUND(+AJ43/AJ41,4)</f>
        <v>8.5000000000000006E-2</v>
      </c>
      <c r="AK45" s="518">
        <f t="shared" si="43"/>
        <v>8.9700000000000002E-2</v>
      </c>
      <c r="AL45" s="518">
        <f t="shared" si="43"/>
        <v>9.2399999999999996E-2</v>
      </c>
      <c r="AM45" s="518">
        <f t="shared" si="43"/>
        <v>9.6299999999999997E-2</v>
      </c>
      <c r="AN45" s="518">
        <f t="shared" si="43"/>
        <v>9.8299999999999998E-2</v>
      </c>
      <c r="AO45" s="518">
        <f t="shared" si="43"/>
        <v>0.1013</v>
      </c>
      <c r="AP45" s="518">
        <f t="shared" si="43"/>
        <v>0.1032</v>
      </c>
      <c r="AQ45" s="518">
        <f t="shared" ref="AQ45:AV45" si="44">ROUND(+AQ43/AQ41,4)</f>
        <v>0.1071</v>
      </c>
      <c r="AR45" s="518">
        <f t="shared" si="44"/>
        <v>0.1081</v>
      </c>
      <c r="AS45" s="518">
        <f t="shared" si="44"/>
        <v>0.1099</v>
      </c>
      <c r="AT45" s="518">
        <f t="shared" si="44"/>
        <v>0.1048</v>
      </c>
      <c r="AU45" s="518">
        <f t="shared" si="44"/>
        <v>0.1019</v>
      </c>
      <c r="AV45" s="519">
        <f t="shared" si="44"/>
        <v>0.1023</v>
      </c>
      <c r="AW45" s="519">
        <f t="shared" ref="AW45" si="45">ROUND(+AW43/AW41,4)</f>
        <v>0.10249999999999999</v>
      </c>
      <c r="AX45" s="519">
        <v>0.1027</v>
      </c>
      <c r="AY45" s="519">
        <v>0.1007</v>
      </c>
      <c r="BA45" s="519">
        <v>0.1011</v>
      </c>
      <c r="BB45" s="519">
        <v>0.1226</v>
      </c>
      <c r="BC45" s="519">
        <v>0.11409999999999999</v>
      </c>
      <c r="BD45" s="519">
        <v>0.1021</v>
      </c>
      <c r="BE45" s="519">
        <v>0.1013</v>
      </c>
      <c r="BF45" s="519">
        <v>7.85E-2</v>
      </c>
      <c r="BG45" s="519">
        <v>7.8299999999999995E-2</v>
      </c>
      <c r="BH45" s="519">
        <v>7.8100000000000003E-2</v>
      </c>
      <c r="BI45" s="519">
        <v>6.3100000000000003E-2</v>
      </c>
      <c r="BJ45" s="519">
        <v>5.9400000000000001E-2</v>
      </c>
      <c r="BK45" s="519">
        <v>6.0499999999999998E-2</v>
      </c>
      <c r="BL45" s="519">
        <v>4.5999999999999999E-2</v>
      </c>
      <c r="BM45" s="519">
        <v>4.65E-2</v>
      </c>
      <c r="BN45" s="519">
        <v>4.3099999999999999E-2</v>
      </c>
      <c r="BO45" s="519">
        <v>3.5200000000000002E-2</v>
      </c>
      <c r="BP45" s="519">
        <v>3.49E-2</v>
      </c>
      <c r="BQ45" s="519">
        <v>3.61E-2</v>
      </c>
      <c r="BR45" s="519">
        <v>3.5099999999999999E-2</v>
      </c>
      <c r="BS45" s="519">
        <v>3.5799999999999998E-2</v>
      </c>
      <c r="BT45" s="519">
        <v>3.2500000000000001E-2</v>
      </c>
      <c r="BU45" s="519">
        <v>3.27E-2</v>
      </c>
      <c r="BV45" s="519">
        <v>2.5700000000000001E-2</v>
      </c>
      <c r="BW45" s="519">
        <v>2.7300000000000001E-2</v>
      </c>
      <c r="BX45" s="519">
        <v>2.4199999999999999E-2</v>
      </c>
      <c r="BY45" s="519">
        <v>2.46E-2</v>
      </c>
      <c r="BZ45" s="519">
        <v>2.01E-2</v>
      </c>
      <c r="CA45" s="519">
        <v>2.12E-2</v>
      </c>
      <c r="CB45" s="519">
        <v>2.1700000000000001E-2</v>
      </c>
      <c r="CC45" s="519">
        <v>2.23E-2</v>
      </c>
      <c r="CD45" s="519">
        <v>1.9800000000000002E-2</v>
      </c>
      <c r="CE45" s="519">
        <v>2.06E-2</v>
      </c>
      <c r="CF45" s="519">
        <v>2.0199999999999999E-2</v>
      </c>
      <c r="CG45" s="519">
        <v>1.84E-2</v>
      </c>
      <c r="CH45" s="519">
        <v>1.7399999999999999E-2</v>
      </c>
      <c r="CI45" s="519">
        <v>1.78E-2</v>
      </c>
    </row>
    <row r="46" spans="1:87" ht="17.25" thickBot="1">
      <c r="A46" s="520"/>
      <c r="B46" s="521" t="s">
        <v>259</v>
      </c>
      <c r="C46" s="522">
        <f>(C43+C44)/(C41+C44)</f>
        <v>7.0944515993209181E-2</v>
      </c>
      <c r="D46" s="522">
        <f t="shared" ref="D46:AF46" si="46">(D43+D44)/(D41+D44)</f>
        <v>7.2893177948482255E-2</v>
      </c>
      <c r="E46" s="522">
        <f t="shared" si="46"/>
        <v>7.2440839429336212E-2</v>
      </c>
      <c r="F46" s="522">
        <f t="shared" si="46"/>
        <v>7.3524770989104024E-2</v>
      </c>
      <c r="G46" s="522">
        <f t="shared" si="46"/>
        <v>7.1592218928633225E-2</v>
      </c>
      <c r="H46" s="522">
        <f t="shared" si="46"/>
        <v>6.9853453861069531E-2</v>
      </c>
      <c r="I46" s="522">
        <f t="shared" si="46"/>
        <v>6.8234735164083307E-2</v>
      </c>
      <c r="J46" s="522">
        <f t="shared" si="46"/>
        <v>6.8027702908034296E-2</v>
      </c>
      <c r="K46" s="522">
        <f t="shared" si="46"/>
        <v>6.6506931174953196E-2</v>
      </c>
      <c r="L46" s="522">
        <f t="shared" si="46"/>
        <v>6.5587287253725979E-2</v>
      </c>
      <c r="M46" s="522">
        <f t="shared" si="46"/>
        <v>6.3242753614327893E-2</v>
      </c>
      <c r="N46" s="522">
        <f t="shared" si="46"/>
        <v>6.3658171307978698E-2</v>
      </c>
      <c r="O46" s="522">
        <f t="shared" si="46"/>
        <v>6.2250257427743878E-2</v>
      </c>
      <c r="P46" s="522">
        <f t="shared" si="46"/>
        <v>6.533771094266036E-2</v>
      </c>
      <c r="Q46" s="522">
        <f t="shared" si="46"/>
        <v>6.8823793008446293E-2</v>
      </c>
      <c r="R46" s="522">
        <f t="shared" si="46"/>
        <v>6.9959020793564822E-2</v>
      </c>
      <c r="S46" s="522">
        <f t="shared" si="46"/>
        <v>6.9361880415824931E-2</v>
      </c>
      <c r="T46" s="522">
        <f t="shared" si="46"/>
        <v>7.1490636409040478E-2</v>
      </c>
      <c r="U46" s="522">
        <f t="shared" si="46"/>
        <v>7.1543401972258891E-2</v>
      </c>
      <c r="V46" s="522">
        <f t="shared" si="46"/>
        <v>7.1017140017783045E-2</v>
      </c>
      <c r="W46" s="522">
        <f t="shared" si="46"/>
        <v>7.0823327625453888E-2</v>
      </c>
      <c r="X46" s="522">
        <f t="shared" si="46"/>
        <v>7.2102088352679727E-2</v>
      </c>
      <c r="Y46" s="522">
        <f t="shared" si="46"/>
        <v>7.3182052883552659E-2</v>
      </c>
      <c r="Z46" s="522">
        <f t="shared" si="46"/>
        <v>7.4087116520995255E-2</v>
      </c>
      <c r="AA46" s="522">
        <f t="shared" si="46"/>
        <v>7.2652506828807598E-2</v>
      </c>
      <c r="AB46" s="522">
        <f t="shared" si="46"/>
        <v>7.519589585559508E-2</v>
      </c>
      <c r="AC46" s="522">
        <f>(AC43+AC44)/(AC41+AC44)</f>
        <v>7.7898055156876797E-2</v>
      </c>
      <c r="AD46" s="522">
        <f t="shared" si="46"/>
        <v>8.0126425936049336E-2</v>
      </c>
      <c r="AE46" s="522">
        <f t="shared" si="46"/>
        <v>9.042284884640811E-2</v>
      </c>
      <c r="AF46" s="522">
        <f t="shared" si="46"/>
        <v>9.2389239565638867E-2</v>
      </c>
      <c r="AG46" s="522">
        <f>(AG43+AG44)/(AG41+AG44)</f>
        <v>9.8967987893387496E-2</v>
      </c>
      <c r="AH46" s="522">
        <f>(AH43+AH44)/(AH41+AH44)</f>
        <v>0.10113389805300448</v>
      </c>
      <c r="AI46" s="522">
        <f>ROUND((AI43+AI44)/(AI41+AI44),4)</f>
        <v>0.1057</v>
      </c>
      <c r="AJ46" s="522">
        <f t="shared" ref="AJ46:AP46" si="47">ROUND((AJ43+AJ44)/(AJ41+AJ44),4)</f>
        <v>0.1106</v>
      </c>
      <c r="AK46" s="522">
        <f t="shared" si="47"/>
        <v>0.11509999999999999</v>
      </c>
      <c r="AL46" s="522">
        <f t="shared" si="47"/>
        <v>0.1167</v>
      </c>
      <c r="AM46" s="522">
        <f t="shared" si="47"/>
        <v>0.1202</v>
      </c>
      <c r="AN46" s="522">
        <f t="shared" si="47"/>
        <v>0.12180000000000001</v>
      </c>
      <c r="AO46" s="522">
        <f t="shared" si="47"/>
        <v>0.12470000000000001</v>
      </c>
      <c r="AP46" s="522">
        <f t="shared" si="47"/>
        <v>0.1263</v>
      </c>
      <c r="AQ46" s="522">
        <f>ROUND((AQ43+AQ44)/(AQ41+AQ44),4)</f>
        <v>0.12920000000000001</v>
      </c>
      <c r="AR46" s="522">
        <f t="shared" ref="AR46:AS46" si="48">ROUND((AR43+AR44)/(AR41+AR44),4)</f>
        <v>0.1298</v>
      </c>
      <c r="AS46" s="522">
        <f t="shared" si="48"/>
        <v>0.13089999999999999</v>
      </c>
      <c r="AT46" s="522">
        <f>ROUND((AT43+AT44)/(AT41+AT44),4)</f>
        <v>0.12429999999999999</v>
      </c>
      <c r="AU46" s="522">
        <f>ROUND((AU43+AU44)/(AU41+AU44),4)</f>
        <v>0.12039999999999999</v>
      </c>
      <c r="AV46" s="523">
        <f>ROUND((AV43+AV44)/(AV41+AV44),4)</f>
        <v>0.1203</v>
      </c>
      <c r="AW46" s="523">
        <f>ROUND((AW43+AW44)/(AW41+AW44),4)</f>
        <v>0.1192</v>
      </c>
      <c r="AX46" s="523">
        <v>0.1187</v>
      </c>
      <c r="AY46" s="523">
        <v>0.115</v>
      </c>
      <c r="BA46" s="523">
        <v>0.1154</v>
      </c>
      <c r="BB46" s="523">
        <v>0.1366</v>
      </c>
      <c r="BC46" s="523">
        <v>0.12839999999999999</v>
      </c>
      <c r="BD46" s="523">
        <v>0.1145</v>
      </c>
      <c r="BE46" s="523">
        <v>0.11360000000000001</v>
      </c>
      <c r="BF46" s="523">
        <v>9.1399999999999995E-2</v>
      </c>
      <c r="BG46" s="523">
        <v>9.2600000000000002E-2</v>
      </c>
      <c r="BH46" s="523">
        <v>9.2200000000000004E-2</v>
      </c>
      <c r="BI46" s="523">
        <v>7.0900000000000005E-2</v>
      </c>
      <c r="BJ46" s="523">
        <v>6.6900000000000001E-2</v>
      </c>
      <c r="BK46" s="523">
        <v>6.8400000000000002E-2</v>
      </c>
      <c r="BL46" s="523">
        <v>5.1400000000000001E-2</v>
      </c>
      <c r="BM46" s="523">
        <v>5.2600000000000001E-2</v>
      </c>
      <c r="BN46" s="523">
        <v>4.8300000000000003E-2</v>
      </c>
      <c r="BO46" s="523">
        <v>4.3700000000000003E-2</v>
      </c>
      <c r="BP46" s="523">
        <v>4.2700000000000002E-2</v>
      </c>
      <c r="BQ46" s="523">
        <v>4.36E-2</v>
      </c>
      <c r="BR46" s="523">
        <v>3.95E-2</v>
      </c>
      <c r="BS46" s="523">
        <v>4.0099999999999997E-2</v>
      </c>
      <c r="BT46" s="523">
        <v>3.5999999999999997E-2</v>
      </c>
      <c r="BU46" s="523">
        <v>3.61E-2</v>
      </c>
      <c r="BV46" s="523">
        <v>2.64E-2</v>
      </c>
      <c r="BW46" s="523">
        <v>2.8000000000000001E-2</v>
      </c>
      <c r="BX46" s="523">
        <v>2.4899999999999999E-2</v>
      </c>
      <c r="BY46" s="523">
        <v>2.5100000000000001E-2</v>
      </c>
      <c r="BZ46" s="523">
        <v>2.06E-2</v>
      </c>
      <c r="CA46" s="523">
        <v>2.1700000000000001E-2</v>
      </c>
      <c r="CB46" s="523">
        <v>2.23E-2</v>
      </c>
      <c r="CC46" s="523">
        <v>2.2800000000000001E-2</v>
      </c>
      <c r="CD46" s="523">
        <v>2.0199999999999999E-2</v>
      </c>
      <c r="CE46" s="523">
        <v>2.1000000000000001E-2</v>
      </c>
      <c r="CF46" s="523">
        <v>2.0500000000000001E-2</v>
      </c>
      <c r="CG46" s="523">
        <v>1.9599999999999999E-2</v>
      </c>
      <c r="CH46" s="523">
        <v>1.7600000000000001E-2</v>
      </c>
      <c r="CI46" s="523">
        <v>1.7999999999999999E-2</v>
      </c>
    </row>
    <row r="47" spans="1:87">
      <c r="B47" s="502"/>
      <c r="C47" s="513"/>
      <c r="D47" s="513"/>
      <c r="E47" s="513"/>
      <c r="F47" s="513"/>
      <c r="G47" s="513"/>
      <c r="H47" s="513"/>
      <c r="I47" s="513"/>
      <c r="J47" s="513"/>
      <c r="K47" s="513"/>
      <c r="L47" s="513"/>
      <c r="M47" s="513"/>
      <c r="N47" s="513"/>
      <c r="O47" s="513"/>
      <c r="P47" s="513"/>
      <c r="Q47" s="513"/>
      <c r="R47" s="513"/>
      <c r="S47" s="513"/>
      <c r="T47" s="513"/>
      <c r="U47" s="513"/>
      <c r="V47" s="513"/>
      <c r="W47" s="513"/>
      <c r="X47" s="513"/>
      <c r="Y47" s="513"/>
      <c r="Z47" s="513"/>
      <c r="AA47" s="513"/>
      <c r="AB47" s="513"/>
      <c r="AC47" s="513"/>
      <c r="AD47" s="513"/>
      <c r="AE47" s="513"/>
      <c r="AF47" s="513"/>
      <c r="AG47" s="513"/>
      <c r="AH47" s="513"/>
      <c r="AI47" s="513"/>
      <c r="AJ47" s="513"/>
      <c r="AK47" s="513"/>
      <c r="AL47" s="513"/>
      <c r="AM47" s="513"/>
      <c r="AN47" s="513"/>
      <c r="AO47" s="513"/>
      <c r="AP47" s="513"/>
      <c r="AQ47" s="513"/>
      <c r="AR47" s="513"/>
      <c r="AS47" s="513"/>
      <c r="AT47" s="513"/>
      <c r="AU47" s="513"/>
      <c r="BA47" s="514"/>
      <c r="BB47" s="514"/>
      <c r="BC47" s="514"/>
      <c r="BD47" s="514"/>
      <c r="BE47" s="514"/>
      <c r="BF47" s="514">
        <v>0</v>
      </c>
      <c r="BG47" s="514"/>
      <c r="BH47" s="514"/>
      <c r="BI47" s="514"/>
      <c r="BJ47" s="514"/>
      <c r="BK47" s="514"/>
      <c r="BL47" s="514"/>
      <c r="BM47" s="514"/>
      <c r="BN47" s="514"/>
      <c r="BO47" s="514"/>
      <c r="BP47" s="514"/>
      <c r="BQ47" s="514"/>
      <c r="BR47" s="514"/>
      <c r="BS47" s="514"/>
      <c r="BT47" s="514"/>
      <c r="BU47" s="514"/>
      <c r="BV47" s="514"/>
      <c r="BW47" s="514"/>
      <c r="BX47" s="514"/>
      <c r="BY47" s="514"/>
      <c r="BZ47" s="514"/>
      <c r="CA47" s="514"/>
      <c r="CB47" s="514"/>
      <c r="CC47" s="514"/>
      <c r="CD47" s="514"/>
      <c r="CE47" s="514"/>
      <c r="CF47" s="514"/>
      <c r="CG47" s="514"/>
      <c r="CH47" s="514"/>
      <c r="CI47" s="514"/>
    </row>
    <row r="48" spans="1:87" ht="49.5">
      <c r="A48" s="526" t="s">
        <v>275</v>
      </c>
      <c r="B48" s="527"/>
      <c r="C48" s="528">
        <v>94085</v>
      </c>
      <c r="D48" s="528">
        <v>10099</v>
      </c>
      <c r="E48" s="528">
        <v>47513</v>
      </c>
      <c r="F48" s="528">
        <v>80685</v>
      </c>
      <c r="G48" s="528">
        <v>129372</v>
      </c>
      <c r="H48" s="528">
        <v>23515</v>
      </c>
      <c r="I48" s="528">
        <v>64376</v>
      </c>
      <c r="J48" s="528">
        <v>98186</v>
      </c>
      <c r="K48" s="528">
        <v>140819</v>
      </c>
      <c r="L48" s="528">
        <v>36107</v>
      </c>
      <c r="M48" s="528">
        <v>96539</v>
      </c>
      <c r="N48" s="528">
        <v>147517</v>
      </c>
      <c r="O48" s="528">
        <v>204314</v>
      </c>
      <c r="P48" s="528">
        <v>102077</v>
      </c>
      <c r="Q48" s="528">
        <v>309382</v>
      </c>
      <c r="R48" s="528">
        <v>406261</v>
      </c>
      <c r="S48" s="528">
        <v>581376</v>
      </c>
      <c r="T48" s="528">
        <v>103885</v>
      </c>
      <c r="U48" s="528">
        <v>192922</v>
      </c>
      <c r="V48" s="528">
        <v>263100</v>
      </c>
      <c r="W48" s="528">
        <v>377939</v>
      </c>
      <c r="X48" s="528">
        <v>75088</v>
      </c>
      <c r="Y48" s="528">
        <v>175719</v>
      </c>
      <c r="Z48" s="528">
        <v>259787</v>
      </c>
      <c r="AA48" s="528">
        <v>344055</v>
      </c>
      <c r="AB48" s="528">
        <v>98725</v>
      </c>
      <c r="AC48" s="528">
        <v>289608</v>
      </c>
      <c r="AD48" s="528">
        <v>419478</v>
      </c>
      <c r="AE48" s="528">
        <v>958393</v>
      </c>
      <c r="AF48" s="528">
        <v>161628</v>
      </c>
      <c r="AG48" s="528">
        <v>439759</v>
      </c>
      <c r="AH48" s="528">
        <v>591383</v>
      </c>
      <c r="AI48" s="528">
        <v>781585</v>
      </c>
      <c r="AJ48" s="528">
        <v>211820</v>
      </c>
      <c r="AK48" s="528">
        <v>416792</v>
      </c>
      <c r="AL48" s="528">
        <v>580088</v>
      </c>
      <c r="AM48" s="528">
        <v>812734</v>
      </c>
      <c r="AN48" s="528">
        <v>147504</v>
      </c>
      <c r="AO48" s="528">
        <v>297741</v>
      </c>
      <c r="AP48" s="528">
        <v>424897</v>
      </c>
      <c r="AQ48" s="528">
        <v>705799</v>
      </c>
      <c r="AR48" s="528">
        <v>114167</v>
      </c>
      <c r="AS48" s="528">
        <v>276102</v>
      </c>
      <c r="AT48" s="528">
        <v>400680</v>
      </c>
      <c r="AU48" s="528">
        <v>619750</v>
      </c>
      <c r="AV48" s="529">
        <v>133573</v>
      </c>
      <c r="AW48" s="529">
        <v>323232</v>
      </c>
      <c r="AX48" s="529">
        <v>412954</v>
      </c>
      <c r="AY48" s="529">
        <v>535975</v>
      </c>
      <c r="BA48" s="529">
        <v>535975</v>
      </c>
      <c r="BB48" s="529">
        <v>535975</v>
      </c>
      <c r="BC48" s="529">
        <v>26141</v>
      </c>
      <c r="BD48" s="529">
        <v>82688</v>
      </c>
      <c r="BE48" s="529">
        <v>152775</v>
      </c>
      <c r="BF48" s="529">
        <v>222315</v>
      </c>
      <c r="BG48" s="529">
        <v>71328</v>
      </c>
      <c r="BH48" s="529">
        <v>145960</v>
      </c>
      <c r="BI48" s="529">
        <v>305369</v>
      </c>
      <c r="BJ48" s="529">
        <v>444818</v>
      </c>
      <c r="BK48" s="529">
        <v>139991</v>
      </c>
      <c r="BL48" s="529">
        <v>293837</v>
      </c>
      <c r="BM48" s="529">
        <v>400361</v>
      </c>
      <c r="BN48" s="529">
        <v>534605</v>
      </c>
      <c r="BO48" s="529">
        <v>417667</v>
      </c>
      <c r="BP48" s="529">
        <v>576896</v>
      </c>
      <c r="BQ48" s="529">
        <v>714070</v>
      </c>
      <c r="BR48" s="529">
        <v>839068</v>
      </c>
      <c r="BS48" s="529">
        <v>96109</v>
      </c>
      <c r="BT48" s="529">
        <v>193713</v>
      </c>
      <c r="BU48" s="529">
        <v>308884</v>
      </c>
      <c r="BV48" s="529">
        <v>582815</v>
      </c>
      <c r="BW48" s="529">
        <v>141199</v>
      </c>
      <c r="BX48" s="529">
        <v>271225</v>
      </c>
      <c r="BY48" s="529">
        <v>353802</v>
      </c>
      <c r="BZ48" s="529">
        <v>425583</v>
      </c>
      <c r="CA48" s="529">
        <v>94977</v>
      </c>
      <c r="CB48" s="529">
        <v>180864</v>
      </c>
      <c r="CC48" s="529">
        <v>259672</v>
      </c>
      <c r="CD48" s="529">
        <v>322844</v>
      </c>
      <c r="CE48" s="529">
        <v>70509</v>
      </c>
      <c r="CF48" s="529">
        <v>142764</v>
      </c>
      <c r="CG48" s="529">
        <v>227717</v>
      </c>
      <c r="CH48" s="529">
        <v>313955</v>
      </c>
      <c r="CI48" s="529">
        <v>85648</v>
      </c>
    </row>
    <row r="49" spans="1:87">
      <c r="A49" s="530"/>
      <c r="B49" s="527"/>
      <c r="C49" s="528"/>
      <c r="D49" s="528"/>
      <c r="E49" s="528"/>
      <c r="F49" s="528"/>
      <c r="G49" s="528"/>
      <c r="H49" s="528"/>
      <c r="I49" s="528"/>
      <c r="J49" s="528"/>
      <c r="K49" s="528"/>
      <c r="L49" s="528"/>
      <c r="M49" s="528"/>
      <c r="N49" s="528"/>
      <c r="O49" s="528"/>
      <c r="P49" s="528"/>
      <c r="Q49" s="528"/>
      <c r="R49" s="528"/>
      <c r="S49" s="528"/>
      <c r="T49" s="528"/>
      <c r="U49" s="528"/>
      <c r="V49" s="528"/>
      <c r="W49" s="528"/>
      <c r="X49" s="528"/>
      <c r="Y49" s="528"/>
      <c r="Z49" s="528"/>
      <c r="AA49" s="528"/>
      <c r="AB49" s="528"/>
      <c r="AC49" s="528"/>
      <c r="AD49" s="528"/>
      <c r="AE49" s="528"/>
      <c r="AF49" s="528"/>
      <c r="AG49" s="528"/>
      <c r="AH49" s="528"/>
      <c r="AI49" s="528"/>
      <c r="AJ49" s="528"/>
      <c r="AK49" s="528"/>
      <c r="AL49" s="528"/>
      <c r="AM49" s="528"/>
      <c r="AN49" s="528"/>
      <c r="AO49" s="528"/>
      <c r="AP49" s="528"/>
      <c r="AQ49" s="528"/>
      <c r="AR49" s="528"/>
      <c r="AS49" s="528"/>
      <c r="AT49" s="528"/>
      <c r="AU49" s="528"/>
      <c r="AV49" s="529"/>
      <c r="AW49" s="529"/>
      <c r="AX49" s="529"/>
      <c r="AY49" s="529"/>
      <c r="BA49" s="529"/>
      <c r="BB49" s="529"/>
      <c r="BC49" s="529"/>
      <c r="BD49" s="529"/>
      <c r="BE49" s="529"/>
      <c r="BF49" s="529"/>
      <c r="BG49" s="529"/>
      <c r="BH49" s="529"/>
      <c r="BI49" s="529"/>
      <c r="BJ49" s="529"/>
      <c r="BK49" s="529"/>
      <c r="BL49" s="529"/>
      <c r="BM49" s="529"/>
      <c r="BN49" s="529"/>
      <c r="BO49" s="529"/>
      <c r="BP49" s="529"/>
      <c r="BQ49" s="529"/>
      <c r="BR49" s="529"/>
      <c r="BS49" s="529"/>
      <c r="BT49" s="529"/>
      <c r="BU49" s="529"/>
      <c r="BV49" s="529"/>
      <c r="BW49" s="529"/>
      <c r="BX49" s="529"/>
      <c r="BY49" s="529"/>
      <c r="BZ49" s="529"/>
      <c r="CA49" s="529"/>
      <c r="CB49" s="529"/>
      <c r="CC49" s="529"/>
      <c r="CD49" s="529"/>
      <c r="CE49" s="529"/>
      <c r="CF49" s="529"/>
      <c r="CG49" s="529"/>
      <c r="CH49" s="529"/>
      <c r="CI49" s="529"/>
    </row>
    <row r="50" spans="1:87">
      <c r="A50" s="531" t="s">
        <v>262</v>
      </c>
      <c r="B50" s="502"/>
      <c r="C50" s="532"/>
      <c r="D50" s="532"/>
      <c r="E50" s="532"/>
      <c r="F50" s="532"/>
      <c r="G50" s="532"/>
      <c r="H50" s="532"/>
      <c r="I50" s="532"/>
      <c r="J50" s="532"/>
      <c r="K50" s="532"/>
      <c r="L50" s="532"/>
      <c r="M50" s="532"/>
      <c r="N50" s="532"/>
      <c r="O50" s="532"/>
      <c r="P50" s="532"/>
      <c r="Q50" s="532"/>
      <c r="R50" s="532"/>
      <c r="S50" s="532"/>
      <c r="T50" s="532"/>
      <c r="U50" s="532"/>
      <c r="V50" s="532"/>
      <c r="W50" s="532"/>
      <c r="X50" s="532"/>
      <c r="Y50" s="532"/>
      <c r="Z50" s="532"/>
      <c r="AA50" s="532"/>
      <c r="AB50" s="532"/>
      <c r="AC50" s="532"/>
      <c r="AD50" s="532"/>
      <c r="AE50" s="532"/>
      <c r="AF50" s="532"/>
      <c r="AG50" s="532"/>
      <c r="AH50" s="532"/>
      <c r="AI50" s="532"/>
      <c r="AJ50" s="532"/>
      <c r="AK50" s="532"/>
      <c r="AL50" s="532"/>
      <c r="AM50" s="532"/>
      <c r="AN50" s="532"/>
      <c r="AO50" s="532"/>
      <c r="AP50" s="532"/>
      <c r="AQ50" s="532"/>
      <c r="AR50" s="532"/>
      <c r="AS50" s="532"/>
      <c r="AT50" s="532"/>
      <c r="AU50" s="532"/>
      <c r="AV50" s="533"/>
      <c r="AW50" s="533"/>
      <c r="AX50" s="533"/>
      <c r="AY50" s="533"/>
      <c r="BA50" s="534"/>
      <c r="BB50" s="533"/>
      <c r="BC50" s="533"/>
      <c r="BD50" s="533"/>
      <c r="BE50" s="533"/>
      <c r="BF50" s="533"/>
      <c r="BG50" s="533"/>
      <c r="BH50" s="533"/>
      <c r="BI50" s="533"/>
      <c r="BJ50" s="533"/>
      <c r="BK50" s="533"/>
      <c r="BL50" s="533"/>
      <c r="BM50" s="533"/>
      <c r="BN50" s="533"/>
      <c r="BO50" s="533"/>
      <c r="BP50" s="533"/>
      <c r="BQ50" s="533"/>
      <c r="BR50" s="533"/>
      <c r="BS50" s="533"/>
      <c r="BT50" s="533"/>
      <c r="BU50" s="533"/>
      <c r="BV50" s="533"/>
      <c r="BW50" s="533"/>
      <c r="BX50" s="533"/>
      <c r="BY50" s="533"/>
      <c r="BZ50" s="533"/>
      <c r="CA50" s="533"/>
      <c r="CB50" s="533"/>
      <c r="CC50" s="533"/>
      <c r="CD50" s="533"/>
      <c r="CE50" s="533"/>
      <c r="CF50" s="533"/>
      <c r="CG50" s="533"/>
      <c r="CH50" s="533"/>
      <c r="CI50" s="533"/>
    </row>
    <row r="51" spans="1:87">
      <c r="A51" s="535" t="s">
        <v>263</v>
      </c>
      <c r="B51" s="536" t="s">
        <v>264</v>
      </c>
      <c r="C51" s="537">
        <f>+C48/C42/(+MONTH(C4))*12</f>
        <v>3.0720235321214616E-3</v>
      </c>
      <c r="D51" s="537">
        <f t="shared" ref="D51:AV51" si="49">+D48/D42/(+MONTH(D4))*12</f>
        <v>1.3808481462192258E-3</v>
      </c>
      <c r="E51" s="537">
        <f t="shared" si="49"/>
        <v>3.1877876862148259E-3</v>
      </c>
      <c r="F51" s="537">
        <f t="shared" si="49"/>
        <v>3.5586600014290209E-3</v>
      </c>
      <c r="G51" s="537">
        <f t="shared" si="49"/>
        <v>4.1367251418382043E-3</v>
      </c>
      <c r="H51" s="537">
        <f t="shared" si="49"/>
        <v>2.9159930188535411E-3</v>
      </c>
      <c r="I51" s="537">
        <f t="shared" si="49"/>
        <v>3.8392466355154286E-3</v>
      </c>
      <c r="J51" s="537">
        <f t="shared" si="49"/>
        <v>3.8572063285706639E-3</v>
      </c>
      <c r="K51" s="537">
        <f t="shared" si="49"/>
        <v>3.9789684508962225E-3</v>
      </c>
      <c r="L51" s="537">
        <f t="shared" si="49"/>
        <v>3.9869468814441476E-3</v>
      </c>
      <c r="M51" s="537">
        <f t="shared" si="49"/>
        <v>5.0404990594782439E-3</v>
      </c>
      <c r="N51" s="537">
        <f t="shared" si="49"/>
        <v>5.0666088693320857E-3</v>
      </c>
      <c r="O51" s="537">
        <f t="shared" si="49"/>
        <v>5.0807398074797635E-3</v>
      </c>
      <c r="P51" s="537">
        <f t="shared" si="49"/>
        <v>9.5982206662684841E-3</v>
      </c>
      <c r="Q51" s="537">
        <f t="shared" si="49"/>
        <v>1.4319343360203025E-2</v>
      </c>
      <c r="R51" s="537">
        <f t="shared" si="49"/>
        <v>1.2553933036476778E-2</v>
      </c>
      <c r="S51" s="537">
        <f t="shared" si="49"/>
        <v>1.2793915144100772E-2</v>
      </c>
      <c r="T51" s="537">
        <f t="shared" si="49"/>
        <v>9.2013417387046131E-3</v>
      </c>
      <c r="U51" s="537">
        <f t="shared" si="49"/>
        <v>8.4244296494928629E-3</v>
      </c>
      <c r="V51" s="537">
        <f t="shared" si="49"/>
        <v>7.4304408640696162E-3</v>
      </c>
      <c r="W51" s="537">
        <f t="shared" si="49"/>
        <v>7.9099784556430474E-3</v>
      </c>
      <c r="X51" s="537">
        <f t="shared" si="49"/>
        <v>6.279551301606315E-3</v>
      </c>
      <c r="Y51" s="537">
        <f t="shared" si="49"/>
        <v>7.3031908334375492E-3</v>
      </c>
      <c r="Z51" s="537">
        <f t="shared" si="49"/>
        <v>7.1639204321339717E-3</v>
      </c>
      <c r="AA51" s="537">
        <f t="shared" si="49"/>
        <v>7.1401018835914789E-3</v>
      </c>
      <c r="AB51" s="537">
        <f t="shared" si="49"/>
        <v>8.2402407661049289E-3</v>
      </c>
      <c r="AC51" s="537">
        <f t="shared" si="49"/>
        <v>1.1932769272847182E-2</v>
      </c>
      <c r="AD51" s="537">
        <f t="shared" si="49"/>
        <v>1.1563199410403024E-2</v>
      </c>
      <c r="AE51" s="537">
        <f t="shared" si="49"/>
        <v>1.9946269136950225E-2</v>
      </c>
      <c r="AF51" s="537">
        <f t="shared" si="49"/>
        <v>1.3279635441849022E-2</v>
      </c>
      <c r="AG51" s="537">
        <f t="shared" si="49"/>
        <v>1.8473222262845909E-2</v>
      </c>
      <c r="AH51" s="537">
        <f t="shared" si="49"/>
        <v>1.6703088863862719E-2</v>
      </c>
      <c r="AI51" s="537">
        <f t="shared" si="49"/>
        <v>1.6802953936879101E-2</v>
      </c>
      <c r="AJ51" s="537">
        <f t="shared" si="49"/>
        <v>1.8479664190424818E-2</v>
      </c>
      <c r="AK51" s="537">
        <f t="shared" si="49"/>
        <v>1.8354156724916179E-2</v>
      </c>
      <c r="AL51" s="537">
        <f t="shared" si="49"/>
        <v>1.734936608229258E-2</v>
      </c>
      <c r="AM51" s="537">
        <f t="shared" si="49"/>
        <v>1.8505006901120252E-2</v>
      </c>
      <c r="AN51" s="537">
        <f t="shared" si="49"/>
        <v>1.3450689468204251E-2</v>
      </c>
      <c r="AO51" s="537">
        <f t="shared" si="49"/>
        <v>1.3712417571602284E-2</v>
      </c>
      <c r="AP51" s="537">
        <f t="shared" si="49"/>
        <v>1.3038714907582698E-2</v>
      </c>
      <c r="AQ51" s="537">
        <f t="shared" si="49"/>
        <v>1.6150060404926843E-2</v>
      </c>
      <c r="AR51" s="537">
        <f t="shared" si="49"/>
        <v>1.036740743619727E-2</v>
      </c>
      <c r="AS51" s="537">
        <f t="shared" si="49"/>
        <v>1.2553026890903051E-2</v>
      </c>
      <c r="AT51" s="537">
        <f t="shared" si="49"/>
        <v>1.2244729568051487E-2</v>
      </c>
      <c r="AU51" s="537">
        <f t="shared" si="49"/>
        <v>1.362262191828981E-2</v>
      </c>
      <c r="AV51" s="538">
        <f t="shared" si="49"/>
        <v>1.1692885047567754E-2</v>
      </c>
      <c r="AW51" s="538">
        <f t="shared" ref="AW51" si="50">+AW48/AW42/(+MONTH(AW4))*12</f>
        <v>1.3755516370305844E-2</v>
      </c>
      <c r="AX51" s="538">
        <f>+AX48/AX42/(+MONTH(AX4))*12</f>
        <v>1.1738180258016035E-2</v>
      </c>
      <c r="AY51" s="538">
        <f>+AY48/AY42/(+MONTH(AY4))*12</f>
        <v>1.1209393541850047E-2</v>
      </c>
      <c r="BA51" s="538">
        <v>1.1257819666101858E-2</v>
      </c>
      <c r="BB51" s="538">
        <f>+BB48/BB42</f>
        <v>1.1534106864809691E-2</v>
      </c>
      <c r="BC51" s="538">
        <v>2.3029900018465502E-3</v>
      </c>
      <c r="BD51" s="538">
        <v>3.6106432495352581E-3</v>
      </c>
      <c r="BE51" s="538">
        <v>4.4624434776328074E-3</v>
      </c>
      <c r="BF51" s="538">
        <v>4.7249851023173986E-3</v>
      </c>
      <c r="BG51" s="538">
        <v>6.1342023166615529E-3</v>
      </c>
      <c r="BH51" s="538">
        <v>6.2722079822226124E-3</v>
      </c>
      <c r="BI51" s="538">
        <v>7.7559850950848792E-3</v>
      </c>
      <c r="BJ51" s="538">
        <v>8.55319914968335E-3</v>
      </c>
      <c r="BK51" s="538">
        <v>1.0972344700185311E-2</v>
      </c>
      <c r="BL51" s="538">
        <v>1.1182202732239148E-2</v>
      </c>
      <c r="BM51" s="538">
        <v>1.0093047984349412E-2</v>
      </c>
      <c r="BN51" s="538">
        <v>1.0085768033391163E-2</v>
      </c>
      <c r="BO51" s="538">
        <v>2.2166980546791747E-2</v>
      </c>
      <c r="BP51" s="538">
        <v>1.5123704714132605E-2</v>
      </c>
      <c r="BQ51" s="538">
        <v>1.2448470194201592E-2</v>
      </c>
      <c r="BR51" s="538">
        <v>1.0605954926650786E-2</v>
      </c>
      <c r="BS51" s="538">
        <v>4.8842592322023157E-3</v>
      </c>
      <c r="BT51" s="538">
        <v>4.2535823980874264E-3</v>
      </c>
      <c r="BU51" s="538">
        <v>4.5356680267620913E-3</v>
      </c>
      <c r="BV51" s="538">
        <v>6.3922791853695156E-3</v>
      </c>
      <c r="BW51" s="538">
        <v>6.3175619264154523E-3</v>
      </c>
      <c r="BX51" s="538">
        <v>6.0884456700477287E-3</v>
      </c>
      <c r="BY51" s="538">
        <v>5.4427688590124928E-3</v>
      </c>
      <c r="BZ51" s="538">
        <v>4.8238721022542145E-3</v>
      </c>
      <c r="CA51" s="538">
        <v>4.3314728990555594E-3</v>
      </c>
      <c r="CB51" s="538">
        <v>4.0660733319418853E-3</v>
      </c>
      <c r="CC51" s="538">
        <v>3.8955583015177079E-3</v>
      </c>
      <c r="CD51" s="538">
        <v>3.5817276860292241E-3</v>
      </c>
      <c r="CE51" s="538">
        <v>3.1477625613177311E-3</v>
      </c>
      <c r="CF51" s="538">
        <v>3.0801018053430202E-3</v>
      </c>
      <c r="CG51" s="538">
        <v>2.4110833791929085E-3</v>
      </c>
      <c r="CH51" s="538">
        <v>2.4387115030818584E-3</v>
      </c>
      <c r="CI51" s="538">
        <v>2.6598711505346449E-3</v>
      </c>
    </row>
    <row r="52" spans="1:87">
      <c r="A52" s="535" t="s">
        <v>263</v>
      </c>
      <c r="B52" s="536" t="s">
        <v>585</v>
      </c>
      <c r="C52" s="537"/>
      <c r="D52" s="537"/>
      <c r="E52" s="537"/>
      <c r="F52" s="537"/>
      <c r="G52" s="537"/>
      <c r="H52" s="537"/>
      <c r="I52" s="537"/>
      <c r="J52" s="537"/>
      <c r="K52" s="537"/>
      <c r="L52" s="537"/>
      <c r="M52" s="537"/>
      <c r="N52" s="537"/>
      <c r="O52" s="537"/>
      <c r="P52" s="537"/>
      <c r="Q52" s="537"/>
      <c r="R52" s="537"/>
      <c r="S52" s="537"/>
      <c r="T52" s="537"/>
      <c r="U52" s="537"/>
      <c r="V52" s="537"/>
      <c r="W52" s="537"/>
      <c r="X52" s="537"/>
      <c r="Y52" s="537"/>
      <c r="Z52" s="537"/>
      <c r="AA52" s="537"/>
      <c r="AB52" s="537"/>
      <c r="AC52" s="537"/>
      <c r="AD52" s="537"/>
      <c r="AE52" s="537"/>
      <c r="AF52" s="537"/>
      <c r="AG52" s="537"/>
      <c r="AH52" s="537"/>
      <c r="AI52" s="537"/>
      <c r="AJ52" s="537"/>
      <c r="AK52" s="537"/>
      <c r="AL52" s="537"/>
      <c r="AM52" s="537"/>
      <c r="AN52" s="537"/>
      <c r="AO52" s="537"/>
      <c r="AP52" s="537"/>
      <c r="AQ52" s="537"/>
      <c r="AR52" s="537"/>
      <c r="AS52" s="537"/>
      <c r="AT52" s="537"/>
      <c r="AU52" s="537"/>
      <c r="AV52" s="538"/>
      <c r="AW52" s="538"/>
      <c r="AX52" s="538"/>
      <c r="AY52" s="538"/>
      <c r="BA52" s="538"/>
      <c r="BB52" s="538"/>
      <c r="BC52" s="538"/>
      <c r="BD52" s="538"/>
      <c r="BE52" s="538"/>
      <c r="BF52" s="538"/>
      <c r="BG52" s="538"/>
      <c r="BH52" s="538"/>
      <c r="BI52" s="538"/>
      <c r="BJ52" s="538"/>
      <c r="BK52" s="538"/>
      <c r="BL52" s="538"/>
      <c r="BM52" s="538"/>
      <c r="BN52" s="538"/>
      <c r="BO52" s="538"/>
      <c r="BP52" s="538"/>
      <c r="BQ52" s="538"/>
      <c r="BR52" s="538"/>
      <c r="BS52" s="538"/>
      <c r="BT52" s="538"/>
      <c r="BU52" s="538"/>
      <c r="BV52" s="538"/>
      <c r="BW52" s="538">
        <v>6.3175619264154523E-3</v>
      </c>
      <c r="BX52" s="538">
        <v>5.8376347069305995E-3</v>
      </c>
      <c r="BY52" s="538">
        <v>3.8110089038841605E-3</v>
      </c>
      <c r="BZ52" s="538">
        <v>3.2544755896875277E-3</v>
      </c>
      <c r="CA52" s="538">
        <v>4.3314729978250399E-3</v>
      </c>
      <c r="CB52" s="538">
        <v>3.8617175364969599E-3</v>
      </c>
      <c r="CC52" s="538">
        <v>3.5467954799825265E-3</v>
      </c>
      <c r="CD52" s="538">
        <v>2.8033960845713487E-3</v>
      </c>
      <c r="CE52" s="538">
        <v>3.1477625613177307E-3</v>
      </c>
      <c r="CF52" s="538">
        <v>3.1177713701641902E-3</v>
      </c>
      <c r="CG52" s="538">
        <v>2.698464756420142E-3</v>
      </c>
      <c r="CH52" s="538">
        <v>2.679487220815382E-3</v>
      </c>
      <c r="CI52" s="538">
        <v>2.6598711505346449E-3</v>
      </c>
    </row>
    <row r="53" spans="1:87">
      <c r="A53" s="535" t="s">
        <v>263</v>
      </c>
      <c r="B53" s="536" t="s">
        <v>266</v>
      </c>
      <c r="C53" s="537">
        <f>+C7/C41</f>
        <v>4.2049821751264795E-2</v>
      </c>
      <c r="D53" s="537">
        <f t="shared" ref="D53:AV53" si="51">+D7/D41</f>
        <v>4.4472396314779623E-2</v>
      </c>
      <c r="E53" s="537">
        <f t="shared" si="51"/>
        <v>4.3960254379910142E-2</v>
      </c>
      <c r="F53" s="537">
        <f t="shared" si="51"/>
        <v>4.4312833755360471E-2</v>
      </c>
      <c r="G53" s="537">
        <f t="shared" si="51"/>
        <v>4.3201610922037718E-2</v>
      </c>
      <c r="H53" s="537">
        <f t="shared" si="51"/>
        <v>4.2691653181902017E-2</v>
      </c>
      <c r="I53" s="537">
        <f t="shared" si="51"/>
        <v>4.1571123778572333E-2</v>
      </c>
      <c r="J53" s="537">
        <f t="shared" si="51"/>
        <v>4.1830606780099526E-2</v>
      </c>
      <c r="K53" s="537">
        <f t="shared" si="51"/>
        <v>4.0380047892240506E-2</v>
      </c>
      <c r="L53" s="537">
        <f t="shared" si="51"/>
        <v>4.0228917717373289E-2</v>
      </c>
      <c r="M53" s="537">
        <f t="shared" si="51"/>
        <v>3.8302000470198556E-2</v>
      </c>
      <c r="N53" s="537">
        <f t="shared" si="51"/>
        <v>3.9676558346492176E-2</v>
      </c>
      <c r="O53" s="537">
        <f t="shared" si="51"/>
        <v>3.8562391527333394E-2</v>
      </c>
      <c r="P53" s="537">
        <f t="shared" si="51"/>
        <v>4.3389467897218974E-2</v>
      </c>
      <c r="Q53" s="537">
        <f t="shared" si="51"/>
        <v>4.5831674339012217E-2</v>
      </c>
      <c r="R53" s="537">
        <f t="shared" si="51"/>
        <v>4.8870978078990997E-2</v>
      </c>
      <c r="S53" s="537">
        <f t="shared" si="51"/>
        <v>4.833219883173577E-2</v>
      </c>
      <c r="T53" s="537">
        <f t="shared" si="51"/>
        <v>5.2273958617895813E-2</v>
      </c>
      <c r="U53" s="537">
        <f t="shared" si="51"/>
        <v>5.3402757758054142E-2</v>
      </c>
      <c r="V53" s="537">
        <f t="shared" si="51"/>
        <v>5.5553416591131478E-2</v>
      </c>
      <c r="W53" s="537">
        <f t="shared" si="51"/>
        <v>5.6950821110441134E-2</v>
      </c>
      <c r="X53" s="537">
        <f t="shared" si="51"/>
        <v>5.8870141020277655E-2</v>
      </c>
      <c r="Y53" s="537">
        <f t="shared" si="51"/>
        <v>6.1817759357434186E-2</v>
      </c>
      <c r="Z53" s="537">
        <f t="shared" si="51"/>
        <v>6.4173898242727415E-2</v>
      </c>
      <c r="AA53" s="537">
        <f t="shared" si="51"/>
        <v>6.5271831071352426E-2</v>
      </c>
      <c r="AB53" s="537">
        <f t="shared" si="51"/>
        <v>6.885750394066735E-2</v>
      </c>
      <c r="AC53" s="537">
        <f t="shared" si="51"/>
        <v>7.2641423612679973E-2</v>
      </c>
      <c r="AD53" s="537">
        <f t="shared" si="51"/>
        <v>7.7570259691630422E-2</v>
      </c>
      <c r="AE53" s="537">
        <f t="shared" si="51"/>
        <v>8.130819738095954E-2</v>
      </c>
      <c r="AF53" s="537">
        <f t="shared" si="51"/>
        <v>9.0474247411183123E-2</v>
      </c>
      <c r="AG53" s="537">
        <f t="shared" si="51"/>
        <v>9.8038610131235757E-2</v>
      </c>
      <c r="AH53" s="537">
        <f t="shared" si="51"/>
        <v>0.10305361355652089</v>
      </c>
      <c r="AI53" s="537">
        <f t="shared" si="51"/>
        <v>0.10888258270129424</v>
      </c>
      <c r="AJ53" s="537">
        <f t="shared" si="51"/>
        <v>0.11559875115925354</v>
      </c>
      <c r="AK53" s="537">
        <f t="shared" si="51"/>
        <v>0.12185520791986172</v>
      </c>
      <c r="AL53" s="537">
        <f t="shared" si="51"/>
        <v>0.12640466468362102</v>
      </c>
      <c r="AM53" s="537">
        <f t="shared" si="51"/>
        <v>0.13348214623737048</v>
      </c>
      <c r="AN53" s="537">
        <f t="shared" si="51"/>
        <v>0.13552593903232191</v>
      </c>
      <c r="AO53" s="537">
        <f t="shared" si="51"/>
        <v>0.13920664257039947</v>
      </c>
      <c r="AP53" s="537">
        <f t="shared" si="51"/>
        <v>0.14179630504561261</v>
      </c>
      <c r="AQ53" s="537">
        <f t="shared" si="51"/>
        <v>0.14524454130136319</v>
      </c>
      <c r="AR53" s="537">
        <f t="shared" si="51"/>
        <v>0.14734582744790586</v>
      </c>
      <c r="AS53" s="537">
        <f t="shared" si="51"/>
        <v>0.14969630011167537</v>
      </c>
      <c r="AT53" s="537">
        <f t="shared" si="51"/>
        <v>0.14287601434736261</v>
      </c>
      <c r="AU53" s="537">
        <f t="shared" si="51"/>
        <v>0.13896297304726005</v>
      </c>
      <c r="AV53" s="539">
        <f t="shared" si="51"/>
        <v>0.13801898291592574</v>
      </c>
      <c r="AW53" s="539">
        <f t="shared" ref="AW53:AX53" si="52">+AW7/AW41</f>
        <v>0.13573716193289845</v>
      </c>
      <c r="AX53" s="539">
        <f t="shared" si="52"/>
        <v>0.13633511900390644</v>
      </c>
      <c r="AY53" s="539">
        <f t="shared" ref="AY53" si="53">+AY7/AY41</f>
        <v>0.13370774342478536</v>
      </c>
      <c r="BA53" s="539">
        <v>0.13422667935033405</v>
      </c>
      <c r="BB53" s="539">
        <v>0.13422667935033405</v>
      </c>
      <c r="BC53" s="539">
        <v>0.12846806450841153</v>
      </c>
      <c r="BD53" s="539">
        <v>0.11577350733588705</v>
      </c>
      <c r="BE53" s="539">
        <v>0.11486929080288355</v>
      </c>
      <c r="BF53" s="539">
        <v>8.4967232316425889E-2</v>
      </c>
      <c r="BG53" s="540">
        <v>8.5688230612243399E-2</v>
      </c>
      <c r="BH53" s="540">
        <v>8.5597455235790487E-2</v>
      </c>
      <c r="BI53" s="540">
        <v>6.2329032355592964E-2</v>
      </c>
      <c r="BJ53" s="540">
        <v>6.2373573532904986E-2</v>
      </c>
      <c r="BK53" s="540">
        <v>6.3215977124557274E-2</v>
      </c>
      <c r="BL53" s="540">
        <v>4.309865278136412E-2</v>
      </c>
      <c r="BM53" s="540">
        <v>4.2505154105008422E-2</v>
      </c>
      <c r="BN53" s="540">
        <v>3.7486000863896134E-2</v>
      </c>
      <c r="BO53" s="540">
        <v>3.0319325608009592E-2</v>
      </c>
      <c r="BP53" s="540">
        <v>2.961302147920785E-2</v>
      </c>
      <c r="BQ53" s="540">
        <v>2.9618049644211605E-2</v>
      </c>
      <c r="BR53" s="540">
        <v>2.4559543990276329E-2</v>
      </c>
      <c r="BS53" s="540">
        <v>2.4574036573774126E-2</v>
      </c>
      <c r="BT53" s="540">
        <v>2.1403665538324856E-2</v>
      </c>
      <c r="BU53" s="540">
        <v>2.0868515042030449E-2</v>
      </c>
      <c r="BV53" s="540">
        <v>1.0270161938156419E-2</v>
      </c>
      <c r="BW53" s="540">
        <v>1.0757459405273125E-2</v>
      </c>
      <c r="BX53" s="540">
        <v>1.1173866580572983E-2</v>
      </c>
      <c r="BY53" s="540">
        <v>1.0721522435253025E-2</v>
      </c>
      <c r="BZ53" s="540">
        <v>7.019907593036826E-3</v>
      </c>
      <c r="CA53" s="540">
        <v>7.3750838909612962E-3</v>
      </c>
      <c r="CB53" s="540">
        <v>7.8086286195709464E-3</v>
      </c>
      <c r="CC53" s="540">
        <v>8.1034570253548602E-3</v>
      </c>
      <c r="CD53" s="540">
        <v>5.6168618055909203E-3</v>
      </c>
      <c r="CE53" s="540">
        <v>6.3192801786412798E-3</v>
      </c>
      <c r="CF53" s="540">
        <v>6.7410215687322382E-3</v>
      </c>
      <c r="CG53" s="538">
        <v>5.9742208700375096E-3</v>
      </c>
      <c r="CH53" s="538">
        <v>4.8648848327510989E-3</v>
      </c>
      <c r="CI53" s="538">
        <v>5.5126974232534206E-3</v>
      </c>
    </row>
    <row r="54" spans="1:87">
      <c r="A54" s="535" t="s">
        <v>263</v>
      </c>
      <c r="B54" s="536" t="s">
        <v>267</v>
      </c>
      <c r="C54" s="537">
        <f>+C8/C42</f>
        <v>1.3383456550041658E-2</v>
      </c>
      <c r="D54" s="537">
        <f t="shared" ref="D54:AV54" si="54">+D8/D42</f>
        <v>1.4162239197245796E-2</v>
      </c>
      <c r="E54" s="537">
        <f t="shared" si="54"/>
        <v>1.4450414077605351E-2</v>
      </c>
      <c r="F54" s="537">
        <f t="shared" si="54"/>
        <v>1.4692191457098928E-2</v>
      </c>
      <c r="G54" s="537">
        <f t="shared" si="54"/>
        <v>1.5025030045711433E-2</v>
      </c>
      <c r="H54" s="537">
        <f t="shared" si="54"/>
        <v>1.5129372156569666E-2</v>
      </c>
      <c r="I54" s="537">
        <f t="shared" si="54"/>
        <v>1.4625528234857217E-2</v>
      </c>
      <c r="J54" s="537">
        <f t="shared" si="54"/>
        <v>1.48583625456725E-2</v>
      </c>
      <c r="K54" s="537">
        <f t="shared" si="54"/>
        <v>1.455481505930166E-2</v>
      </c>
      <c r="L54" s="537">
        <f t="shared" si="54"/>
        <v>1.4399887724607719E-2</v>
      </c>
      <c r="M54" s="537">
        <f t="shared" si="54"/>
        <v>1.3599594249719895E-2</v>
      </c>
      <c r="N54" s="537">
        <f t="shared" si="54"/>
        <v>1.4395075658850717E-2</v>
      </c>
      <c r="O54" s="537">
        <f t="shared" si="54"/>
        <v>1.4346498875313685E-2</v>
      </c>
      <c r="P54" s="537">
        <f t="shared" si="54"/>
        <v>1.7024178297454291E-2</v>
      </c>
      <c r="Q54" s="537">
        <f t="shared" si="54"/>
        <v>1.7992255718917986E-2</v>
      </c>
      <c r="R54" s="537">
        <f t="shared" si="54"/>
        <v>1.9686112120613129E-2</v>
      </c>
      <c r="S54" s="537">
        <f t="shared" si="54"/>
        <v>1.998485880845486E-2</v>
      </c>
      <c r="T54" s="537">
        <f t="shared" si="54"/>
        <v>2.1883799458402037E-2</v>
      </c>
      <c r="U54" s="537">
        <f t="shared" si="54"/>
        <v>2.2617341673717518E-2</v>
      </c>
      <c r="V54" s="537">
        <f t="shared" si="54"/>
        <v>2.379999015487767E-2</v>
      </c>
      <c r="W54" s="537">
        <f t="shared" si="54"/>
        <v>2.5435292222196013E-2</v>
      </c>
      <c r="X54" s="537">
        <f t="shared" si="54"/>
        <v>2.6694992442949553E-2</v>
      </c>
      <c r="Y54" s="537">
        <f t="shared" si="54"/>
        <v>2.8943276884567076E-2</v>
      </c>
      <c r="Z54" s="537">
        <f t="shared" si="54"/>
        <v>3.0752336358428046E-2</v>
      </c>
      <c r="AA54" s="537">
        <f t="shared" si="54"/>
        <v>3.2385997981600044E-2</v>
      </c>
      <c r="AB54" s="537">
        <f t="shared" si="54"/>
        <v>3.4698696086753689E-2</v>
      </c>
      <c r="AC54" s="537">
        <f t="shared" si="54"/>
        <v>3.6706013776528976E-2</v>
      </c>
      <c r="AD54" s="537">
        <f t="shared" si="54"/>
        <v>3.9772325064288697E-2</v>
      </c>
      <c r="AE54" s="537">
        <f t="shared" si="54"/>
        <v>3.9224487387649228E-2</v>
      </c>
      <c r="AF54" s="537">
        <f t="shared" si="54"/>
        <v>4.4302136683466754E-2</v>
      </c>
      <c r="AG54" s="537">
        <f t="shared" si="54"/>
        <v>4.7842818128894328E-2</v>
      </c>
      <c r="AH54" s="537">
        <f t="shared" si="54"/>
        <v>5.0621367683372866E-2</v>
      </c>
      <c r="AI54" s="537">
        <f t="shared" si="54"/>
        <v>5.3294420361993652E-2</v>
      </c>
      <c r="AJ54" s="537">
        <f t="shared" si="54"/>
        <v>5.6364938732567406E-2</v>
      </c>
      <c r="AK54" s="537">
        <f t="shared" si="54"/>
        <v>5.8275918428387238E-2</v>
      </c>
      <c r="AL54" s="537">
        <f t="shared" si="54"/>
        <v>6.0744846034799016E-2</v>
      </c>
      <c r="AM54" s="537">
        <f t="shared" si="54"/>
        <v>6.4187078225818622E-2</v>
      </c>
      <c r="AN54" s="537">
        <f t="shared" si="54"/>
        <v>6.5382279201749216E-2</v>
      </c>
      <c r="AO54" s="537">
        <f t="shared" si="54"/>
        <v>6.6803897843154589E-2</v>
      </c>
      <c r="AP54" s="537">
        <f t="shared" si="54"/>
        <v>6.8270743722701671E-2</v>
      </c>
      <c r="AQ54" s="537">
        <f t="shared" si="54"/>
        <v>6.8050611496200411E-2</v>
      </c>
      <c r="AR54" s="537">
        <f t="shared" si="54"/>
        <v>6.914857438272258E-2</v>
      </c>
      <c r="AS54" s="537">
        <f t="shared" si="54"/>
        <v>6.9822671479822698E-2</v>
      </c>
      <c r="AT54" s="537">
        <f t="shared" si="54"/>
        <v>6.803924804378618E-2</v>
      </c>
      <c r="AU54" s="541">
        <f t="shared" si="54"/>
        <v>6.614520947833788E-2</v>
      </c>
      <c r="AV54" s="539">
        <f t="shared" si="54"/>
        <v>6.4360108609992125E-2</v>
      </c>
      <c r="AW54" s="539">
        <f t="shared" ref="AW54:AX54" si="55">+AW8/AW42</f>
        <v>6.2384900185244889E-2</v>
      </c>
      <c r="AX54" s="539">
        <f t="shared" si="55"/>
        <v>6.2274045949520684E-2</v>
      </c>
      <c r="AY54" s="539">
        <f t="shared" ref="AY54" si="56">+AY8/AY42</f>
        <v>6.0508577175505965E-2</v>
      </c>
      <c r="BA54" s="539">
        <v>6.076964649427536E-2</v>
      </c>
      <c r="BB54" s="539">
        <v>4.9915443962064029E-2</v>
      </c>
      <c r="BC54" s="539">
        <v>4.8618122305058561E-2</v>
      </c>
      <c r="BD54" s="539">
        <v>4.5274299700463067E-2</v>
      </c>
      <c r="BE54" s="539">
        <v>4.5385788534902695E-2</v>
      </c>
      <c r="BF54" s="539">
        <v>3.0780616464597031E-2</v>
      </c>
      <c r="BG54" s="540">
        <v>3.0611650138306148E-2</v>
      </c>
      <c r="BH54" s="540">
        <v>3.0618911712613585E-2</v>
      </c>
      <c r="BI54" s="540">
        <v>2.4140039764126302E-2</v>
      </c>
      <c r="BJ54" s="540">
        <v>2.252201946243242E-2</v>
      </c>
      <c r="BK54" s="540">
        <v>2.2675690485056625E-2</v>
      </c>
      <c r="BL54" s="540">
        <v>1.6798782457888781E-2</v>
      </c>
      <c r="BM54" s="540">
        <v>1.607030770017899E-2</v>
      </c>
      <c r="BN54" s="540">
        <v>1.3710384842405877E-2</v>
      </c>
      <c r="BO54" s="540">
        <v>1.3247621843572874E-2</v>
      </c>
      <c r="BP54" s="540">
        <v>1.2008970681489765E-2</v>
      </c>
      <c r="BQ54" s="540">
        <v>1.1380918036454701E-2</v>
      </c>
      <c r="BR54" s="540">
        <v>7.1662257314905626E-3</v>
      </c>
      <c r="BS54" s="540">
        <v>6.8291024583513596E-3</v>
      </c>
      <c r="BT54" s="540">
        <v>5.3893466263977303E-3</v>
      </c>
      <c r="BU54" s="540">
        <v>4.7707156113063892E-3</v>
      </c>
      <c r="BV54" s="540">
        <v>2.4230041107285798E-3</v>
      </c>
      <c r="BW54" s="540">
        <v>2.1691717259719316E-3</v>
      </c>
      <c r="BX54" s="540">
        <v>2.1320503221567266E-3</v>
      </c>
      <c r="BY54" s="540">
        <v>2.2981338554054478E-3</v>
      </c>
      <c r="BZ54" s="540">
        <v>1.9789206957525583E-3</v>
      </c>
      <c r="CA54" s="540">
        <v>2.0852541559345066E-3</v>
      </c>
      <c r="CB54" s="540">
        <v>2.4269105423400479E-3</v>
      </c>
      <c r="CC54" s="540">
        <v>2.7768071898577797E-3</v>
      </c>
      <c r="CD54" s="540">
        <v>1.3856224038440235E-3</v>
      </c>
      <c r="CE54" s="540">
        <v>1.6657797508183138E-3</v>
      </c>
      <c r="CF54" s="540">
        <v>1.775291509789254E-3</v>
      </c>
      <c r="CG54" s="540">
        <v>1.9156676161517822E-3</v>
      </c>
      <c r="CH54" s="540">
        <v>1.4228348080266703E-3</v>
      </c>
      <c r="CI54" s="540">
        <v>1.5906959913361642E-3</v>
      </c>
    </row>
    <row r="55" spans="1:87">
      <c r="A55" s="535" t="s">
        <v>263</v>
      </c>
      <c r="B55" s="536" t="s">
        <v>268</v>
      </c>
      <c r="C55" s="537">
        <f>+C15/C41</f>
        <v>2.2867669697115733E-2</v>
      </c>
      <c r="D55" s="537">
        <f t="shared" ref="D55:AV55" si="57">+D15/D41</f>
        <v>2.4477886363307701E-2</v>
      </c>
      <c r="E55" s="537">
        <f t="shared" si="57"/>
        <v>2.3045433927365726E-2</v>
      </c>
      <c r="F55" s="537">
        <f t="shared" si="57"/>
        <v>2.4238192582081566E-2</v>
      </c>
      <c r="G55" s="537">
        <f t="shared" si="57"/>
        <v>2.1091551838954763E-2</v>
      </c>
      <c r="H55" s="537">
        <f t="shared" si="57"/>
        <v>2.0929504016232517E-2</v>
      </c>
      <c r="I55" s="537">
        <f t="shared" si="57"/>
        <v>2.075975788388763E-2</v>
      </c>
      <c r="J55" s="537">
        <f t="shared" si="57"/>
        <v>2.1004859957064772E-2</v>
      </c>
      <c r="K55" s="537">
        <f t="shared" si="57"/>
        <v>2.0838063250457596E-2</v>
      </c>
      <c r="L55" s="537">
        <f t="shared" si="57"/>
        <v>2.21279481230304E-2</v>
      </c>
      <c r="M55" s="537">
        <f t="shared" si="57"/>
        <v>2.2200834161128863E-2</v>
      </c>
      <c r="N55" s="537">
        <f t="shared" si="57"/>
        <v>2.3397126036878518E-2</v>
      </c>
      <c r="O55" s="537">
        <f t="shared" si="57"/>
        <v>2.489165641060552E-2</v>
      </c>
      <c r="P55" s="537">
        <f t="shared" si="57"/>
        <v>3.3439572644145585E-2</v>
      </c>
      <c r="Q55" s="537">
        <f t="shared" si="57"/>
        <v>4.3176599644950402E-2</v>
      </c>
      <c r="R55" s="537">
        <f t="shared" si="57"/>
        <v>4.4942640782058139E-2</v>
      </c>
      <c r="S55" s="537">
        <f t="shared" si="57"/>
        <v>4.7546953571936577E-2</v>
      </c>
      <c r="T55" s="537">
        <f t="shared" si="57"/>
        <v>4.8779983092186445E-2</v>
      </c>
      <c r="U55" s="537">
        <f t="shared" si="57"/>
        <v>4.9929012082988784E-2</v>
      </c>
      <c r="V55" s="537">
        <f t="shared" si="57"/>
        <v>4.9215323975859308E-2</v>
      </c>
      <c r="W55" s="537">
        <f t="shared" si="57"/>
        <v>4.7474039033198252E-2</v>
      </c>
      <c r="X55" s="537">
        <f t="shared" si="57"/>
        <v>5.167725330997168E-2</v>
      </c>
      <c r="Y55" s="537">
        <f t="shared" si="57"/>
        <v>5.233788238939497E-2</v>
      </c>
      <c r="Z55" s="537">
        <f t="shared" si="57"/>
        <v>5.6417250405570968E-2</v>
      </c>
      <c r="AA55" s="537">
        <f t="shared" si="57"/>
        <v>5.7587569117672197E-2</v>
      </c>
      <c r="AB55" s="537">
        <f t="shared" si="57"/>
        <v>6.3522853099766685E-2</v>
      </c>
      <c r="AC55" s="537">
        <f t="shared" si="57"/>
        <v>6.6555456180919542E-2</v>
      </c>
      <c r="AD55" s="537">
        <f t="shared" si="57"/>
        <v>6.9153723820270935E-2</v>
      </c>
      <c r="AE55" s="537">
        <f t="shared" si="57"/>
        <v>7.016232273486965E-2</v>
      </c>
      <c r="AF55" s="537">
        <f t="shared" si="57"/>
        <v>6.6930259082412513E-2</v>
      </c>
      <c r="AG55" s="537">
        <f t="shared" si="57"/>
        <v>8.2369596307275583E-2</v>
      </c>
      <c r="AH55" s="537">
        <f t="shared" si="57"/>
        <v>8.3372218125456879E-2</v>
      </c>
      <c r="AI55" s="537">
        <f t="shared" si="57"/>
        <v>8.5923499392793451E-2</v>
      </c>
      <c r="AJ55" s="537">
        <f t="shared" si="57"/>
        <v>8.8841487235479064E-2</v>
      </c>
      <c r="AK55" s="537">
        <f t="shared" si="57"/>
        <v>8.814356478162795E-2</v>
      </c>
      <c r="AL55" s="537">
        <f t="shared" si="57"/>
        <v>9.0290052490109365E-2</v>
      </c>
      <c r="AM55" s="537">
        <f t="shared" si="57"/>
        <v>8.8509769810144315E-2</v>
      </c>
      <c r="AN55" s="537">
        <f t="shared" si="57"/>
        <v>8.9137604497067702E-2</v>
      </c>
      <c r="AO55" s="537">
        <f t="shared" si="57"/>
        <v>8.5872668009051578E-2</v>
      </c>
      <c r="AP55" s="537">
        <f t="shared" si="57"/>
        <v>8.5977692064292136E-2</v>
      </c>
      <c r="AQ55" s="537">
        <f t="shared" si="57"/>
        <v>8.1769896279847751E-2</v>
      </c>
      <c r="AR55" s="537">
        <f t="shared" si="57"/>
        <v>8.1923469734864196E-2</v>
      </c>
      <c r="AS55" s="537">
        <f t="shared" si="57"/>
        <v>8.1558091673523292E-2</v>
      </c>
      <c r="AT55" s="537">
        <f t="shared" si="57"/>
        <v>8.4179471342608836E-2</v>
      </c>
      <c r="AU55" s="537">
        <f t="shared" si="57"/>
        <v>7.8508240110415503E-2</v>
      </c>
      <c r="AV55" s="539">
        <f t="shared" si="57"/>
        <v>7.5754991175705277E-2</v>
      </c>
      <c r="AW55" s="539">
        <f t="shared" ref="AW55:AX55" si="58">+AW15/AW41</f>
        <v>7.0955668750652151E-2</v>
      </c>
      <c r="AX55" s="539">
        <f t="shared" si="58"/>
        <v>6.8400850233815827E-2</v>
      </c>
      <c r="AY55" s="539">
        <f t="shared" ref="AY55" si="59">+AY15/AY41</f>
        <v>6.2409420288151461E-2</v>
      </c>
      <c r="BA55" s="539">
        <v>6.2634031781532581E-2</v>
      </c>
      <c r="BB55" s="539">
        <v>6.2634031781532581E-2</v>
      </c>
      <c r="BC55" s="539">
        <v>6.2241235971926115E-2</v>
      </c>
      <c r="BD55" s="539">
        <v>5.5801985007614401E-2</v>
      </c>
      <c r="BE55" s="539">
        <v>5.6448257848923843E-2</v>
      </c>
      <c r="BF55" s="539">
        <v>5.1675211747749701E-2</v>
      </c>
      <c r="BG55" s="540">
        <v>5.0771811976130801E-2</v>
      </c>
      <c r="BH55" s="540">
        <v>5.0024687987337182E-2</v>
      </c>
      <c r="BI55" s="540">
        <v>5.2115802375989007E-2</v>
      </c>
      <c r="BJ55" s="540">
        <v>4.4830644826119759E-2</v>
      </c>
      <c r="BK55" s="540">
        <v>4.5333924309025768E-2</v>
      </c>
      <c r="BL55" s="540">
        <v>4.365311491270784E-2</v>
      </c>
      <c r="BM55" s="540">
        <v>4.2467834912439981E-2</v>
      </c>
      <c r="BN55" s="540">
        <v>3.8368149088989639E-2</v>
      </c>
      <c r="BO55" s="540">
        <v>2.9183630869728618E-2</v>
      </c>
      <c r="BP55" s="540">
        <v>2.5222594326481697E-2</v>
      </c>
      <c r="BQ55" s="540">
        <v>2.3606333358928942E-2</v>
      </c>
      <c r="BR55" s="540">
        <v>2.2966447920470288E-2</v>
      </c>
      <c r="BS55" s="540">
        <v>2.3181464305353196E-2</v>
      </c>
      <c r="BT55" s="540">
        <v>2.0648286535280048E-2</v>
      </c>
      <c r="BU55" s="540">
        <v>1.9931786151516414E-2</v>
      </c>
      <c r="BV55" s="540">
        <v>2.0002758035690862E-2</v>
      </c>
      <c r="BW55" s="540">
        <v>2.0369205795912081E-2</v>
      </c>
      <c r="BX55" s="540">
        <v>1.3983860216312569E-2</v>
      </c>
      <c r="BY55" s="540">
        <v>1.5046347369966667E-2</v>
      </c>
      <c r="BZ55" s="540">
        <v>1.5034222400781895E-2</v>
      </c>
      <c r="CA55" s="540">
        <v>1.6323750685464999E-2</v>
      </c>
      <c r="CB55" s="540">
        <v>1.8174949700782223E-2</v>
      </c>
      <c r="CC55" s="540">
        <v>1.8087877469473355E-2</v>
      </c>
      <c r="CD55" s="540">
        <v>1.7105067404940642E-2</v>
      </c>
      <c r="CE55" s="540">
        <v>1.8462308234819941E-2</v>
      </c>
      <c r="CF55" s="540">
        <v>1.7048631287920658E-2</v>
      </c>
      <c r="CG55" s="540">
        <v>1.5759158755942568E-2</v>
      </c>
      <c r="CH55" s="540">
        <v>1.4952817937312278E-2</v>
      </c>
      <c r="CI55" s="540">
        <v>1.5148975120036729E-2</v>
      </c>
    </row>
    <row r="56" spans="1:87">
      <c r="A56" s="535" t="s">
        <v>263</v>
      </c>
      <c r="B56" s="536" t="s">
        <v>269</v>
      </c>
      <c r="C56" s="537">
        <f>+C16/C42</f>
        <v>1.8055244050450212E-2</v>
      </c>
      <c r="D56" s="537">
        <f t="shared" ref="D56:AV56" si="60">+D16/D42</f>
        <v>1.9614463205025252E-2</v>
      </c>
      <c r="E56" s="537">
        <f t="shared" si="60"/>
        <v>1.8260421850995398E-2</v>
      </c>
      <c r="F56" s="537">
        <f t="shared" si="60"/>
        <v>1.9358640683178038E-2</v>
      </c>
      <c r="G56" s="537">
        <f t="shared" si="60"/>
        <v>1.7222125691956268E-2</v>
      </c>
      <c r="H56" s="537">
        <f t="shared" si="60"/>
        <v>1.6929903291398443E-2</v>
      </c>
      <c r="I56" s="537">
        <f t="shared" si="60"/>
        <v>1.6769568805775188E-2</v>
      </c>
      <c r="J56" s="537">
        <f t="shared" si="60"/>
        <v>1.7211731393738314E-2</v>
      </c>
      <c r="K56" s="537">
        <f t="shared" si="60"/>
        <v>1.7178715018022605E-2</v>
      </c>
      <c r="L56" s="537">
        <f t="shared" si="60"/>
        <v>1.8556523049291663E-2</v>
      </c>
      <c r="M56" s="537">
        <f t="shared" si="60"/>
        <v>1.8480637709620284E-2</v>
      </c>
      <c r="N56" s="537">
        <f t="shared" si="60"/>
        <v>1.9664402806069525E-2</v>
      </c>
      <c r="O56" s="537">
        <f t="shared" si="60"/>
        <v>2.0309108137616196E-2</v>
      </c>
      <c r="P56" s="537">
        <f t="shared" si="60"/>
        <v>2.7173057581989717E-2</v>
      </c>
      <c r="Q56" s="537">
        <f t="shared" si="60"/>
        <v>3.5104264908638987E-2</v>
      </c>
      <c r="R56" s="537">
        <f t="shared" si="60"/>
        <v>3.7166461363273395E-2</v>
      </c>
      <c r="S56" s="537">
        <f t="shared" si="60"/>
        <v>3.9661013711620466E-2</v>
      </c>
      <c r="T56" s="537">
        <f t="shared" si="60"/>
        <v>4.2017807255650116E-2</v>
      </c>
      <c r="U56" s="537">
        <f t="shared" si="60"/>
        <v>4.3254054618663579E-2</v>
      </c>
      <c r="V56" s="537">
        <f t="shared" si="60"/>
        <v>4.310755016670198E-2</v>
      </c>
      <c r="W56" s="537">
        <f t="shared" si="60"/>
        <v>4.1717450611007373E-2</v>
      </c>
      <c r="X56" s="537">
        <f t="shared" si="60"/>
        <v>4.5601281484077549E-2</v>
      </c>
      <c r="Y56" s="537">
        <f t="shared" si="60"/>
        <v>4.6038106564268468E-2</v>
      </c>
      <c r="Z56" s="537">
        <f t="shared" si="60"/>
        <v>4.9912521962061876E-2</v>
      </c>
      <c r="AA56" s="537">
        <f t="shared" si="60"/>
        <v>5.1116123343904363E-2</v>
      </c>
      <c r="AB56" s="537">
        <f t="shared" si="60"/>
        <v>5.6889879396387025E-2</v>
      </c>
      <c r="AC56" s="537">
        <f t="shared" si="60"/>
        <v>5.9584015211553175E-2</v>
      </c>
      <c r="AD56" s="537">
        <f t="shared" si="60"/>
        <v>6.2511701634292427E-2</v>
      </c>
      <c r="AE56" s="537">
        <f t="shared" si="60"/>
        <v>6.0248828611200692E-2</v>
      </c>
      <c r="AF56" s="537">
        <f t="shared" si="60"/>
        <v>5.9586867425831427E-2</v>
      </c>
      <c r="AG56" s="537">
        <f t="shared" si="60"/>
        <v>7.3826769081487123E-2</v>
      </c>
      <c r="AH56" s="537">
        <f t="shared" si="60"/>
        <v>7.5290087527661934E-2</v>
      </c>
      <c r="AI56" s="537">
        <f t="shared" si="60"/>
        <v>7.6895456231528173E-2</v>
      </c>
      <c r="AJ56" s="537">
        <f t="shared" si="60"/>
        <v>7.9163794759171777E-2</v>
      </c>
      <c r="AK56" s="537">
        <f t="shared" si="60"/>
        <v>7.889805481617275E-2</v>
      </c>
      <c r="AL56" s="537">
        <f t="shared" si="60"/>
        <v>8.1065445982965181E-2</v>
      </c>
      <c r="AM56" s="537">
        <f t="shared" si="60"/>
        <v>8.0043614160130172E-2</v>
      </c>
      <c r="AN56" s="537">
        <f t="shared" si="60"/>
        <v>7.9879267149711136E-2</v>
      </c>
      <c r="AO56" s="537">
        <f t="shared" si="60"/>
        <v>7.6322238243681659E-2</v>
      </c>
      <c r="AP56" s="537">
        <f t="shared" si="60"/>
        <v>7.598539675100334E-2</v>
      </c>
      <c r="AQ56" s="537">
        <f t="shared" si="60"/>
        <v>7.1533679685270621E-2</v>
      </c>
      <c r="AR56" s="537">
        <f t="shared" si="60"/>
        <v>7.1582327523697323E-2</v>
      </c>
      <c r="AS56" s="537">
        <f t="shared" si="60"/>
        <v>7.1374852695661156E-2</v>
      </c>
      <c r="AT56" s="537">
        <f t="shared" si="60"/>
        <v>7.311515876617572E-2</v>
      </c>
      <c r="AU56" s="537">
        <f t="shared" si="60"/>
        <v>6.6881501477364824E-2</v>
      </c>
      <c r="AV56" s="539">
        <f t="shared" si="60"/>
        <v>6.3969967897155339E-2</v>
      </c>
      <c r="AW56" s="539">
        <f t="shared" ref="AW56:AX56" si="61">+AW16/AW42</f>
        <v>5.8204394694956196E-2</v>
      </c>
      <c r="AX56" s="539">
        <f t="shared" si="61"/>
        <v>5.5902659237020556E-2</v>
      </c>
      <c r="AY56" s="539">
        <f t="shared" ref="AY56" si="62">+AY16/AY42</f>
        <v>5.0534554065343101E-2</v>
      </c>
      <c r="BA56" s="539">
        <v>5.0733126188191216E-2</v>
      </c>
      <c r="BB56" s="539">
        <v>4.0302070665259794E-2</v>
      </c>
      <c r="BC56" s="539">
        <v>4.2248757278720551E-2</v>
      </c>
      <c r="BD56" s="539">
        <v>3.6083507914929723E-2</v>
      </c>
      <c r="BE56" s="539">
        <v>3.6312262998411067E-2</v>
      </c>
      <c r="BF56" s="539">
        <v>3.6041552579329866E-2</v>
      </c>
      <c r="BG56" s="540">
        <v>3.6127255028098215E-2</v>
      </c>
      <c r="BH56" s="540">
        <v>3.5124042409682955E-2</v>
      </c>
      <c r="BI56" s="540">
        <v>3.4915648242636717E-2</v>
      </c>
      <c r="BJ56" s="540">
        <v>3.192986937401384E-2</v>
      </c>
      <c r="BK56" s="540">
        <v>3.1868637541422287E-2</v>
      </c>
      <c r="BL56" s="540">
        <v>2.9757372950133733E-2</v>
      </c>
      <c r="BM56" s="540">
        <v>2.8126158196485031E-2</v>
      </c>
      <c r="BN56" s="540">
        <v>2.4409613129894515E-2</v>
      </c>
      <c r="BO56" s="540">
        <v>1.7478389267807436E-2</v>
      </c>
      <c r="BP56" s="540">
        <v>1.4882219236725528E-2</v>
      </c>
      <c r="BQ56" s="540">
        <v>1.2625329227797983E-2</v>
      </c>
      <c r="BR56" s="540">
        <v>1.1806327851859939E-2</v>
      </c>
      <c r="BS56" s="540">
        <v>1.227109846867656E-2</v>
      </c>
      <c r="BT56" s="540">
        <v>1.1400164273438729E-2</v>
      </c>
      <c r="BU56" s="540">
        <v>1.0859460516234803E-2</v>
      </c>
      <c r="BV56" s="540">
        <v>1.0475489207082196E-2</v>
      </c>
      <c r="BW56" s="540">
        <v>9.7845722971336858E-3</v>
      </c>
      <c r="BX56" s="540">
        <v>7.5625465310961539E-3</v>
      </c>
      <c r="BY56" s="540">
        <v>8.1850135283501151E-3</v>
      </c>
      <c r="BZ56" s="540">
        <v>8.1028079842896897E-3</v>
      </c>
      <c r="CA56" s="540">
        <v>8.4233573411669274E-3</v>
      </c>
      <c r="CB56" s="540">
        <v>9.5562525184772259E-3</v>
      </c>
      <c r="CC56" s="540">
        <v>9.0641241544938446E-3</v>
      </c>
      <c r="CD56" s="540">
        <v>8.9340277432236603E-3</v>
      </c>
      <c r="CE56" s="540">
        <v>9.6690271128389103E-3</v>
      </c>
      <c r="CF56" s="540">
        <v>8.7356929007929504E-3</v>
      </c>
      <c r="CG56" s="540">
        <v>8.87363324569059E-3</v>
      </c>
      <c r="CH56" s="540">
        <v>7.8172683425061576E-3</v>
      </c>
      <c r="CI56" s="540">
        <v>8.0578586571402235E-3</v>
      </c>
    </row>
    <row r="57" spans="1:87">
      <c r="A57" s="535" t="s">
        <v>263</v>
      </c>
      <c r="B57" s="542" t="s">
        <v>272</v>
      </c>
      <c r="C57" s="537">
        <f>+C21/C41</f>
        <v>6.8556533577107653E-3</v>
      </c>
      <c r="D57" s="537">
        <f t="shared" ref="D57:AV57" si="63">+D21/D41</f>
        <v>5.8372162418081396E-3</v>
      </c>
      <c r="E57" s="537">
        <f t="shared" si="63"/>
        <v>6.8090288568675101E-3</v>
      </c>
      <c r="F57" s="537">
        <f t="shared" si="63"/>
        <v>5.5607254217637956E-3</v>
      </c>
      <c r="G57" s="537">
        <f t="shared" si="63"/>
        <v>5.8022316280196759E-3</v>
      </c>
      <c r="H57" s="537">
        <f t="shared" si="63"/>
        <v>4.9769403996744194E-3</v>
      </c>
      <c r="I57" s="537">
        <f t="shared" si="63"/>
        <v>7.4673392977380668E-3</v>
      </c>
      <c r="J57" s="537">
        <f t="shared" si="63"/>
        <v>6.5291492445020988E-3</v>
      </c>
      <c r="K57" s="537">
        <f t="shared" si="63"/>
        <v>5.8515715684979821E-3</v>
      </c>
      <c r="L57" s="537">
        <f t="shared" si="63"/>
        <v>5.7975798823919813E-3</v>
      </c>
      <c r="M57" s="537">
        <f t="shared" si="63"/>
        <v>7.4264642753405731E-3</v>
      </c>
      <c r="N57" s="537">
        <f t="shared" si="63"/>
        <v>5.6578771855888468E-3</v>
      </c>
      <c r="O57" s="537">
        <f t="shared" si="63"/>
        <v>7.742768425150896E-3</v>
      </c>
      <c r="P57" s="537">
        <f t="shared" si="63"/>
        <v>8.1257001806673331E-3</v>
      </c>
      <c r="Q57" s="537">
        <f t="shared" si="63"/>
        <v>8.4034610663562218E-3</v>
      </c>
      <c r="R57" s="537">
        <f t="shared" si="63"/>
        <v>9.9788945081707801E-3</v>
      </c>
      <c r="S57" s="537">
        <f t="shared" si="63"/>
        <v>1.1141061338607948E-2</v>
      </c>
      <c r="T57" s="537">
        <f t="shared" si="63"/>
        <v>8.2550371413833857E-3</v>
      </c>
      <c r="U57" s="537">
        <f t="shared" si="63"/>
        <v>9.632657603944399E-3</v>
      </c>
      <c r="V57" s="537">
        <f t="shared" si="63"/>
        <v>9.3484843395367483E-3</v>
      </c>
      <c r="W57" s="537">
        <f t="shared" si="63"/>
        <v>6.7468925896732703E-3</v>
      </c>
      <c r="X57" s="537">
        <f t="shared" si="63"/>
        <v>5.5375737340197049E-3</v>
      </c>
      <c r="Y57" s="537">
        <f t="shared" si="63"/>
        <v>6.3087387853284979E-3</v>
      </c>
      <c r="Z57" s="537">
        <f t="shared" si="63"/>
        <v>7.5835722825881198E-3</v>
      </c>
      <c r="AA57" s="537">
        <f t="shared" si="63"/>
        <v>6.2583344934201406E-3</v>
      </c>
      <c r="AB57" s="537">
        <f t="shared" si="63"/>
        <v>1.2388782850456359E-2</v>
      </c>
      <c r="AC57" s="537">
        <f t="shared" si="63"/>
        <v>1.2988234402898884E-2</v>
      </c>
      <c r="AD57" s="537">
        <f t="shared" si="63"/>
        <v>1.3691682729228289E-2</v>
      </c>
      <c r="AE57" s="537">
        <f t="shared" si="63"/>
        <v>8.6975081725633695E-3</v>
      </c>
      <c r="AF57" s="537">
        <f t="shared" si="63"/>
        <v>1.1150937309855858E-2</v>
      </c>
      <c r="AG57" s="537">
        <f t="shared" si="63"/>
        <v>1.0358837544536415E-2</v>
      </c>
      <c r="AH57" s="537">
        <f t="shared" si="63"/>
        <v>1.2821213605684676E-2</v>
      </c>
      <c r="AI57" s="537">
        <f t="shared" si="63"/>
        <v>7.2287595649000889E-3</v>
      </c>
      <c r="AJ57" s="537">
        <f t="shared" si="63"/>
        <v>5.491557026174025E-3</v>
      </c>
      <c r="AK57" s="537">
        <f t="shared" si="63"/>
        <v>7.1805481584579275E-3</v>
      </c>
      <c r="AL57" s="537">
        <f t="shared" si="63"/>
        <v>6.4324050641157843E-3</v>
      </c>
      <c r="AM57" s="537">
        <f t="shared" si="63"/>
        <v>4.3042495727745019E-3</v>
      </c>
      <c r="AN57" s="537">
        <f t="shared" si="63"/>
        <v>4.8434248398672832E-3</v>
      </c>
      <c r="AO57" s="537">
        <f t="shared" si="63"/>
        <v>7.2580375475975222E-3</v>
      </c>
      <c r="AP57" s="537">
        <f t="shared" si="63"/>
        <v>7.2226993638364089E-3</v>
      </c>
      <c r="AQ57" s="537">
        <f t="shared" si="63"/>
        <v>5.8049654131648292E-3</v>
      </c>
      <c r="AR57" s="537">
        <f t="shared" si="63"/>
        <v>4.2325672558573505E-3</v>
      </c>
      <c r="AS57" s="537">
        <f t="shared" si="63"/>
        <v>3.9626022645545848E-3</v>
      </c>
      <c r="AT57" s="537">
        <f t="shared" si="63"/>
        <v>4.3223597708675126E-3</v>
      </c>
      <c r="AU57" s="537">
        <f t="shared" si="63"/>
        <v>3.1126763735937349E-3</v>
      </c>
      <c r="AV57" s="539">
        <f t="shared" si="63"/>
        <v>3.0341193292966291E-3</v>
      </c>
      <c r="AW57" s="539">
        <f t="shared" ref="AW57:AX57" si="64">+AW21/AW41</f>
        <v>3.974330358677414E-3</v>
      </c>
      <c r="AX57" s="539">
        <f t="shared" si="64"/>
        <v>2.8698270235926549E-3</v>
      </c>
      <c r="AY57" s="539">
        <f t="shared" ref="AY57" si="65">+AY21/AY41</f>
        <v>1.9609801733627293E-3</v>
      </c>
      <c r="BA57" s="539">
        <f>+BA21/BA41</f>
        <v>1.9685954051770335E-3</v>
      </c>
      <c r="BB57" s="539">
        <f t="shared" ref="BB57:BD57" si="66">+BB21/BB41</f>
        <v>1.9685954051770335E-3</v>
      </c>
      <c r="BC57" s="539">
        <f t="shared" si="66"/>
        <v>1.8294561683444876E-3</v>
      </c>
      <c r="BD57" s="539">
        <f t="shared" si="66"/>
        <v>2.2339497713180201E-3</v>
      </c>
      <c r="BE57" s="539">
        <v>1.7044476075155246E-3</v>
      </c>
      <c r="BF57" s="539">
        <v>1.3518457921588949E-3</v>
      </c>
      <c r="BG57" s="540">
        <v>1.1999999999999999E-3</v>
      </c>
      <c r="BH57" s="540">
        <v>1.8E-3</v>
      </c>
      <c r="BI57" s="540">
        <v>1.8E-3</v>
      </c>
      <c r="BJ57" s="540">
        <v>3.2000000000000002E-3</v>
      </c>
      <c r="BK57" s="540">
        <v>2.9348548527334097E-3</v>
      </c>
      <c r="BL57" s="540">
        <v>4.1476199833271089E-3</v>
      </c>
      <c r="BM57" s="540">
        <v>3.2960058476109895E-3</v>
      </c>
      <c r="BN57" s="540">
        <v>2.5511221893812991E-3</v>
      </c>
      <c r="BO57" s="540">
        <v>1.6595375686877247E-3</v>
      </c>
      <c r="BP57" s="540">
        <v>1.7057080132237151E-3</v>
      </c>
      <c r="BQ57" s="540">
        <v>2.0150208029527275E-3</v>
      </c>
      <c r="BR57" s="540">
        <v>1.558262034348164E-3</v>
      </c>
      <c r="BS57" s="540">
        <v>1.3428974832977569E-3</v>
      </c>
      <c r="BT57" s="540">
        <v>1.3689252845127961E-3</v>
      </c>
      <c r="BU57" s="540">
        <v>1.5402175169069551E-3</v>
      </c>
      <c r="BV57" s="540">
        <v>1.6934189539030292E-3</v>
      </c>
      <c r="BW57" s="540">
        <v>1.7552700290678245E-3</v>
      </c>
      <c r="BX57" s="540">
        <v>2.2636610499760313E-3</v>
      </c>
      <c r="BY57" s="540">
        <v>2.7004074273060531E-3</v>
      </c>
      <c r="BZ57" s="540">
        <v>2.3494214421132722E-3</v>
      </c>
      <c r="CA57" s="540">
        <v>2.3743294456345112E-3</v>
      </c>
      <c r="CB57" s="540">
        <v>1.6528189686485289E-3</v>
      </c>
      <c r="CC57" s="540">
        <v>1.5807714127091029E-3</v>
      </c>
      <c r="CD57" s="540">
        <v>1.3314577656300924E-3</v>
      </c>
      <c r="CE57" s="540">
        <v>1.3122014502596896E-3</v>
      </c>
      <c r="CF57" s="540">
        <v>1.3847762490943689E-3</v>
      </c>
      <c r="CG57" s="540">
        <v>1.5141221920555075E-3</v>
      </c>
      <c r="CH57" s="540">
        <v>1.3041096634826778E-3</v>
      </c>
      <c r="CI57" s="540">
        <v>1.2397079782377645E-3</v>
      </c>
    </row>
    <row r="58" spans="1:87">
      <c r="A58" s="535" t="s">
        <v>263</v>
      </c>
      <c r="B58" s="536" t="s">
        <v>273</v>
      </c>
      <c r="C58" s="537">
        <f>+C22/C42</f>
        <v>7.0947956554988376E-3</v>
      </c>
      <c r="D58" s="537">
        <f t="shared" ref="D58:AV58" si="67">+D22/D42</f>
        <v>6.05120910695263E-3</v>
      </c>
      <c r="E58" s="537">
        <f t="shared" si="67"/>
        <v>7.0596887128310049E-3</v>
      </c>
      <c r="F58" s="537">
        <f t="shared" si="67"/>
        <v>5.7660017307035816E-3</v>
      </c>
      <c r="G58" s="537">
        <f t="shared" si="67"/>
        <v>5.8819120564440495E-3</v>
      </c>
      <c r="H58" s="537">
        <f t="shared" si="67"/>
        <v>5.0194079703333831E-3</v>
      </c>
      <c r="I58" s="537">
        <f t="shared" si="67"/>
        <v>7.5571302335126229E-3</v>
      </c>
      <c r="J58" s="537">
        <f t="shared" si="67"/>
        <v>6.6046300559503323E-3</v>
      </c>
      <c r="K58" s="537">
        <f t="shared" si="67"/>
        <v>5.9107117320867653E-3</v>
      </c>
      <c r="L58" s="537">
        <f t="shared" si="67"/>
        <v>5.8696963355329337E-3</v>
      </c>
      <c r="M58" s="537">
        <f t="shared" si="67"/>
        <v>7.4968932525167386E-3</v>
      </c>
      <c r="N58" s="537">
        <f t="shared" si="67"/>
        <v>5.7127245444737662E-3</v>
      </c>
      <c r="O58" s="537">
        <f t="shared" si="67"/>
        <v>7.7859053821191845E-3</v>
      </c>
      <c r="P58" s="537">
        <f t="shared" si="67"/>
        <v>8.2607960588968951E-3</v>
      </c>
      <c r="Q58" s="537">
        <f t="shared" si="67"/>
        <v>8.5596147233815388E-3</v>
      </c>
      <c r="R58" s="537">
        <f t="shared" si="67"/>
        <v>1.0183961435176516E-2</v>
      </c>
      <c r="S58" s="537">
        <f t="shared" si="67"/>
        <v>1.134434036898611E-2</v>
      </c>
      <c r="T58" s="537">
        <f t="shared" si="67"/>
        <v>8.4507129578403218E-3</v>
      </c>
      <c r="U58" s="537">
        <f t="shared" si="67"/>
        <v>9.7893023603529451E-3</v>
      </c>
      <c r="V58" s="537">
        <f t="shared" si="67"/>
        <v>9.5173187309213689E-3</v>
      </c>
      <c r="W58" s="537">
        <f t="shared" si="67"/>
        <v>6.8257388458261509E-3</v>
      </c>
      <c r="X58" s="537">
        <f t="shared" si="67"/>
        <v>5.6373206626135902E-3</v>
      </c>
      <c r="Y58" s="537">
        <f t="shared" si="67"/>
        <v>6.4294795233315041E-3</v>
      </c>
      <c r="Z58" s="537">
        <f t="shared" si="67"/>
        <v>7.7356839393143383E-3</v>
      </c>
      <c r="AA58" s="537">
        <f t="shared" si="67"/>
        <v>6.3657737050137365E-3</v>
      </c>
      <c r="AB58" s="537">
        <f t="shared" si="67"/>
        <v>1.2654518338521235E-2</v>
      </c>
      <c r="AC58" s="537">
        <f t="shared" si="67"/>
        <v>1.3297047619416486E-2</v>
      </c>
      <c r="AD58" s="537">
        <f t="shared" si="67"/>
        <v>1.4036068985227659E-2</v>
      </c>
      <c r="AE58" s="537">
        <f t="shared" si="67"/>
        <v>8.7628945902530012E-3</v>
      </c>
      <c r="AF58" s="537">
        <f t="shared" si="67"/>
        <v>1.1114530180045714E-2</v>
      </c>
      <c r="AG58" s="537">
        <f t="shared" si="67"/>
        <v>1.0445695015505742E-2</v>
      </c>
      <c r="AH58" s="537">
        <f t="shared" si="67"/>
        <v>1.281599973699081E-2</v>
      </c>
      <c r="AI58" s="537">
        <f t="shared" si="67"/>
        <v>7.3927106716155213E-3</v>
      </c>
      <c r="AJ58" s="537">
        <f t="shared" si="67"/>
        <v>5.5906829410199733E-3</v>
      </c>
      <c r="AK58" s="537">
        <f t="shared" si="67"/>
        <v>7.3607173829905006E-3</v>
      </c>
      <c r="AL58" s="537">
        <f t="shared" si="67"/>
        <v>6.6315592693717076E-3</v>
      </c>
      <c r="AM58" s="537">
        <f t="shared" si="67"/>
        <v>4.3786064839587517E-3</v>
      </c>
      <c r="AN58" s="537">
        <f t="shared" si="67"/>
        <v>4.9623719187129852E-3</v>
      </c>
      <c r="AO58" s="537">
        <f t="shared" si="67"/>
        <v>7.425400696782272E-3</v>
      </c>
      <c r="AP58" s="537">
        <f t="shared" si="67"/>
        <v>7.4267114291456876E-3</v>
      </c>
      <c r="AQ58" s="537">
        <f t="shared" si="67"/>
        <v>5.8496343040399853E-3</v>
      </c>
      <c r="AR58" s="537">
        <f t="shared" si="67"/>
        <v>4.3137294252589449E-3</v>
      </c>
      <c r="AS58" s="537">
        <f t="shared" si="67"/>
        <v>4.0852282064425564E-3</v>
      </c>
      <c r="AT58" s="537">
        <f t="shared" si="67"/>
        <v>4.4117835810974964E-3</v>
      </c>
      <c r="AU58" s="537">
        <f t="shared" si="67"/>
        <v>3.1953758303892021E-3</v>
      </c>
      <c r="AV58" s="539">
        <f t="shared" si="67"/>
        <v>3.1095705169435573E-3</v>
      </c>
      <c r="AW58" s="539">
        <f t="shared" ref="AW58:AX58" si="68">+AW22/AW42</f>
        <v>4.0801793163857498E-3</v>
      </c>
      <c r="AX58" s="539">
        <f t="shared" si="68"/>
        <v>2.8403093818362354E-3</v>
      </c>
      <c r="AY58" s="539">
        <f t="shared" ref="AY58" si="69">+AY22/AY42</f>
        <v>1.9494797511264712E-3</v>
      </c>
      <c r="BA58" s="539">
        <f>+BA22/BA42</f>
        <v>1.9579017722020967E-3</v>
      </c>
      <c r="BB58" s="539">
        <f t="shared" ref="BB58:BD58" si="70">+BB22/BB42</f>
        <v>1.927706002585797E-3</v>
      </c>
      <c r="BC58" s="539">
        <f t="shared" si="70"/>
        <v>1.7896825061211026E-3</v>
      </c>
      <c r="BD58" s="539">
        <f t="shared" si="70"/>
        <v>2.1717219187262493E-3</v>
      </c>
      <c r="BE58" s="539">
        <v>1.6531633389916766E-3</v>
      </c>
      <c r="BF58" s="539">
        <v>1.2860316377937768E-3</v>
      </c>
      <c r="BG58" s="540">
        <v>1.1000000000000001E-3</v>
      </c>
      <c r="BH58" s="540">
        <v>1.6999999999999999E-3</v>
      </c>
      <c r="BI58" s="540">
        <v>1.6999999999999999E-3</v>
      </c>
      <c r="BJ58" s="540">
        <v>3.5000000000000001E-3</v>
      </c>
      <c r="BK58" s="540">
        <v>2.5501368456917178E-3</v>
      </c>
      <c r="BL58" s="540">
        <v>3.5583697229255992E-3</v>
      </c>
      <c r="BM58" s="540">
        <v>2.7583062008977159E-3</v>
      </c>
      <c r="BN58" s="540">
        <v>2.0682234134821158E-3</v>
      </c>
      <c r="BO58" s="540">
        <v>1.2719024696800662E-3</v>
      </c>
      <c r="BP58" s="540">
        <v>1.3269707596648391E-3</v>
      </c>
      <c r="BQ58" s="540">
        <v>1.5919012753175036E-3</v>
      </c>
      <c r="BR58" s="540">
        <v>1.1960373498566871E-3</v>
      </c>
      <c r="BS58" s="540">
        <v>9.747275705047437E-4</v>
      </c>
      <c r="BT58" s="540">
        <v>1.0236787650164767E-3</v>
      </c>
      <c r="BU58" s="540">
        <v>1.1329221623191308E-3</v>
      </c>
      <c r="BV58" s="540">
        <v>1.1915239550474646E-3</v>
      </c>
      <c r="BW58" s="540">
        <v>1.2524588107257571E-3</v>
      </c>
      <c r="BX58" s="540">
        <v>1.671014292397522E-3</v>
      </c>
      <c r="BY58" s="540">
        <v>1.9810074438981274E-3</v>
      </c>
      <c r="BZ58" s="540">
        <v>1.7427840843130457E-3</v>
      </c>
      <c r="CA58" s="540">
        <v>1.6974934525619016E-3</v>
      </c>
      <c r="CB58" s="540">
        <v>1.2142983231314304E-3</v>
      </c>
      <c r="CC58" s="540">
        <v>1.0980785734598477E-3</v>
      </c>
      <c r="CD58" s="540">
        <v>9.0134518257659513E-4</v>
      </c>
      <c r="CE58" s="540">
        <v>8.672987876634172E-4</v>
      </c>
      <c r="CF58" s="540">
        <v>8.8885933623551511E-4</v>
      </c>
      <c r="CG58" s="540">
        <v>1.0496482511024165E-3</v>
      </c>
      <c r="CH58" s="540">
        <v>9.0496932667117529E-4</v>
      </c>
      <c r="CI58" s="540">
        <v>8.7272363749926393E-4</v>
      </c>
    </row>
    <row r="59" spans="1:87" s="512" customFormat="1">
      <c r="A59" s="543" t="s">
        <v>263</v>
      </c>
      <c r="B59" s="544" t="s">
        <v>270</v>
      </c>
      <c r="C59" s="541">
        <f>+C27/C41</f>
        <v>7.1773144806091302E-2</v>
      </c>
      <c r="D59" s="541">
        <f t="shared" ref="D59:AV59" si="71">+D27/D41</f>
        <v>7.4787498919895459E-2</v>
      </c>
      <c r="E59" s="541">
        <f t="shared" si="71"/>
        <v>7.3814717164143381E-2</v>
      </c>
      <c r="F59" s="541">
        <f t="shared" si="71"/>
        <v>7.4111751759205827E-2</v>
      </c>
      <c r="G59" s="541">
        <f t="shared" si="71"/>
        <v>7.0095394389012161E-2</v>
      </c>
      <c r="H59" s="541">
        <f t="shared" si="71"/>
        <v>6.8598097597808952E-2</v>
      </c>
      <c r="I59" s="541">
        <f t="shared" si="71"/>
        <v>6.9798220960198026E-2</v>
      </c>
      <c r="J59" s="541">
        <f t="shared" si="71"/>
        <v>6.9364615981666405E-2</v>
      </c>
      <c r="K59" s="541">
        <f t="shared" si="71"/>
        <v>6.706968271119608E-2</v>
      </c>
      <c r="L59" s="541">
        <f t="shared" si="71"/>
        <v>6.8154445722795678E-2</v>
      </c>
      <c r="M59" s="541">
        <f t="shared" si="71"/>
        <v>6.792929890666799E-2</v>
      </c>
      <c r="N59" s="541">
        <f t="shared" si="71"/>
        <v>6.8731561568959543E-2</v>
      </c>
      <c r="O59" s="541">
        <f t="shared" si="71"/>
        <v>7.1196816363089804E-2</v>
      </c>
      <c r="P59" s="541">
        <f t="shared" si="71"/>
        <v>8.4954740722031893E-2</v>
      </c>
      <c r="Q59" s="541">
        <f t="shared" si="71"/>
        <v>9.7411735050318846E-2</v>
      </c>
      <c r="R59" s="541">
        <f t="shared" si="71"/>
        <v>0.10379251336921991</v>
      </c>
      <c r="S59" s="541">
        <f t="shared" si="71"/>
        <v>0.1070202137422803</v>
      </c>
      <c r="T59" s="541">
        <f t="shared" si="71"/>
        <v>0.10930897885146565</v>
      </c>
      <c r="U59" s="541">
        <f t="shared" si="71"/>
        <v>0.11296442744498732</v>
      </c>
      <c r="V59" s="541">
        <f t="shared" si="71"/>
        <v>0.11411722490652754</v>
      </c>
      <c r="W59" s="541">
        <f t="shared" si="71"/>
        <v>0.11117175273331266</v>
      </c>
      <c r="X59" s="541">
        <f t="shared" si="71"/>
        <v>0.11608496806426905</v>
      </c>
      <c r="Y59" s="541">
        <f t="shared" si="71"/>
        <v>0.12046438053215765</v>
      </c>
      <c r="Z59" s="541">
        <f t="shared" si="71"/>
        <v>0.1281747209308865</v>
      </c>
      <c r="AA59" s="541">
        <f t="shared" si="71"/>
        <v>0.12911773468244475</v>
      </c>
      <c r="AB59" s="541">
        <f t="shared" si="71"/>
        <v>0.14476913989089038</v>
      </c>
      <c r="AC59" s="541">
        <f t="shared" si="71"/>
        <v>0.15218511419649838</v>
      </c>
      <c r="AD59" s="541">
        <f t="shared" si="71"/>
        <v>0.16041566624112963</v>
      </c>
      <c r="AE59" s="541">
        <f t="shared" si="71"/>
        <v>0.16016802828839255</v>
      </c>
      <c r="AF59" s="541">
        <f t="shared" si="71"/>
        <v>0.16855544380345147</v>
      </c>
      <c r="AG59" s="541">
        <f t="shared" si="71"/>
        <v>0.19076704398304775</v>
      </c>
      <c r="AH59" s="541">
        <f t="shared" si="71"/>
        <v>0.19924704528766243</v>
      </c>
      <c r="AI59" s="541">
        <f t="shared" si="71"/>
        <v>0.20203484165898777</v>
      </c>
      <c r="AJ59" s="541">
        <f t="shared" si="71"/>
        <v>0.20993179542090662</v>
      </c>
      <c r="AK59" s="541">
        <f t="shared" si="71"/>
        <v>0.21717932085994759</v>
      </c>
      <c r="AL59" s="541">
        <f t="shared" si="71"/>
        <v>0.22312712223784617</v>
      </c>
      <c r="AM59" s="541">
        <f t="shared" si="71"/>
        <v>0.22629616562028929</v>
      </c>
      <c r="AN59" s="541">
        <f t="shared" si="71"/>
        <v>0.22950696836925691</v>
      </c>
      <c r="AO59" s="541">
        <f t="shared" si="71"/>
        <v>0.23233734812704857</v>
      </c>
      <c r="AP59" s="541">
        <f t="shared" si="71"/>
        <v>0.23499669647374113</v>
      </c>
      <c r="AQ59" s="541">
        <f t="shared" si="71"/>
        <v>0.23281940299437578</v>
      </c>
      <c r="AR59" s="541">
        <f t="shared" si="71"/>
        <v>0.23350186443862742</v>
      </c>
      <c r="AS59" s="541">
        <f t="shared" si="71"/>
        <v>0.23521699404975324</v>
      </c>
      <c r="AT59" s="541">
        <f t="shared" si="71"/>
        <v>0.23137784546083895</v>
      </c>
      <c r="AU59" s="541">
        <f t="shared" si="71"/>
        <v>0.22058388953126928</v>
      </c>
      <c r="AV59" s="545">
        <f t="shared" si="71"/>
        <v>0.21680809342092766</v>
      </c>
      <c r="AW59" s="545">
        <f t="shared" ref="AW59:AX59" si="72">+AW27/AW41</f>
        <v>0.21066716104222802</v>
      </c>
      <c r="AX59" s="545">
        <f t="shared" si="72"/>
        <v>0.20760579626131492</v>
      </c>
      <c r="AY59" s="545">
        <f t="shared" ref="AY59" si="73">+AY27/AY41</f>
        <v>0.19807814388629957</v>
      </c>
      <c r="BA59" s="545">
        <v>0.19882930653704367</v>
      </c>
      <c r="BB59" s="545">
        <v>0.19882930653704367</v>
      </c>
      <c r="BC59" s="545">
        <v>0.19253875664868214</v>
      </c>
      <c r="BD59" s="545">
        <v>0.17380944189585587</v>
      </c>
      <c r="BE59" s="545">
        <v>0.17302199625932294</v>
      </c>
      <c r="BF59" s="545">
        <v>0.1379942898563345</v>
      </c>
      <c r="BG59" s="546">
        <v>0.13769999999999999</v>
      </c>
      <c r="BH59" s="546">
        <v>0.13739512656277694</v>
      </c>
      <c r="BI59" s="546">
        <v>0.11627446259879511</v>
      </c>
      <c r="BJ59" s="546">
        <v>0.11073100202412565</v>
      </c>
      <c r="BK59" s="546">
        <v>0.11148475628631646</v>
      </c>
      <c r="BL59" s="546">
        <v>9.0899387677399066E-2</v>
      </c>
      <c r="BM59" s="546">
        <v>8.8268994865059389E-2</v>
      </c>
      <c r="BN59" s="546">
        <v>7.8405272142267071E-2</v>
      </c>
      <c r="BO59" s="546">
        <v>6.1162494046425937E-2</v>
      </c>
      <c r="BP59" s="546">
        <v>5.6541323818913261E-2</v>
      </c>
      <c r="BQ59" s="546">
        <v>5.5239403806093275E-2</v>
      </c>
      <c r="BR59" s="546">
        <v>4.9084253945094782E-2</v>
      </c>
      <c r="BS59" s="546">
        <v>4.9098398362425077E-2</v>
      </c>
      <c r="BT59" s="546">
        <v>4.3420877358117699E-2</v>
      </c>
      <c r="BU59" s="546">
        <v>4.2340518710453821E-2</v>
      </c>
      <c r="BV59" s="546">
        <v>3.1966338927750311E-2</v>
      </c>
      <c r="BW59" s="546">
        <v>3.2881935230253033E-2</v>
      </c>
      <c r="BX59" s="546">
        <v>2.7421387846861583E-2</v>
      </c>
      <c r="BY59" s="546">
        <v>2.8468277232525745E-2</v>
      </c>
      <c r="BZ59" s="546">
        <v>2.4403551435931994E-2</v>
      </c>
      <c r="CA59" s="546">
        <v>2.6073164022060804E-2</v>
      </c>
      <c r="CB59" s="546">
        <v>2.7636397289001698E-2</v>
      </c>
      <c r="CC59" s="546">
        <v>2.7772105907537321E-2</v>
      </c>
      <c r="CD59" s="546">
        <v>2.4053386976161654E-2</v>
      </c>
      <c r="CE59" s="546">
        <v>2.609378986372091E-2</v>
      </c>
      <c r="CF59" s="546">
        <v>2.5174429105747263E-2</v>
      </c>
      <c r="CG59" s="540">
        <v>2.3247501818035584E-2</v>
      </c>
      <c r="CH59" s="540">
        <v>2.1121812433546053E-2</v>
      </c>
      <c r="CI59" s="540">
        <v>2.1901380521527916E-2</v>
      </c>
    </row>
    <row r="60" spans="1:87" s="512" customFormat="1">
      <c r="A60" s="543" t="s">
        <v>263</v>
      </c>
      <c r="B60" s="544" t="s">
        <v>271</v>
      </c>
      <c r="C60" s="541">
        <f>+C28/C42</f>
        <v>3.8533496255990708E-2</v>
      </c>
      <c r="D60" s="541">
        <f t="shared" ref="D60:AV60" si="74">+D28/D42</f>
        <v>3.9827911509223678E-2</v>
      </c>
      <c r="E60" s="541">
        <f t="shared" si="74"/>
        <v>3.977052464143175E-2</v>
      </c>
      <c r="F60" s="541">
        <f t="shared" si="74"/>
        <v>3.9816833870980547E-2</v>
      </c>
      <c r="G60" s="541">
        <f t="shared" si="74"/>
        <v>3.8129067794111751E-2</v>
      </c>
      <c r="H60" s="541">
        <f t="shared" si="74"/>
        <v>3.7078683418301492E-2</v>
      </c>
      <c r="I60" s="541">
        <f t="shared" si="74"/>
        <v>3.8952227274145025E-2</v>
      </c>
      <c r="J60" s="541">
        <f t="shared" si="74"/>
        <v>3.8674723995361149E-2</v>
      </c>
      <c r="K60" s="541">
        <f t="shared" si="74"/>
        <v>3.7644241809411033E-2</v>
      </c>
      <c r="L60" s="541">
        <f t="shared" si="74"/>
        <v>3.8826107109432316E-2</v>
      </c>
      <c r="M60" s="541">
        <f t="shared" si="74"/>
        <v>3.9577125211856919E-2</v>
      </c>
      <c r="N60" s="541">
        <f t="shared" si="74"/>
        <v>3.9772203009394005E-2</v>
      </c>
      <c r="O60" s="541">
        <f t="shared" si="74"/>
        <v>4.2441512395049071E-2</v>
      </c>
      <c r="P60" s="541">
        <f t="shared" si="74"/>
        <v>5.24580319383409E-2</v>
      </c>
      <c r="Q60" s="541">
        <f t="shared" si="74"/>
        <v>6.1656135350938508E-2</v>
      </c>
      <c r="R60" s="541">
        <f t="shared" si="74"/>
        <v>6.7036534919063043E-2</v>
      </c>
      <c r="S60" s="541">
        <f t="shared" si="74"/>
        <v>7.0990212889061433E-2</v>
      </c>
      <c r="T60" s="541">
        <f t="shared" si="74"/>
        <v>7.235231967189247E-2</v>
      </c>
      <c r="U60" s="541">
        <f t="shared" si="74"/>
        <v>7.5660698652734046E-2</v>
      </c>
      <c r="V60" s="541">
        <f t="shared" si="74"/>
        <v>7.6424859052501015E-2</v>
      </c>
      <c r="W60" s="541">
        <f t="shared" si="74"/>
        <v>7.3978460749783134E-2</v>
      </c>
      <c r="X60" s="541">
        <f t="shared" si="74"/>
        <v>7.7933594589640692E-2</v>
      </c>
      <c r="Y60" s="541">
        <f t="shared" si="74"/>
        <v>8.1410862972167042E-2</v>
      </c>
      <c r="Z60" s="541">
        <f t="shared" si="74"/>
        <v>8.840054225980426E-2</v>
      </c>
      <c r="AA60" s="541">
        <f t="shared" si="74"/>
        <v>8.9867895030518147E-2</v>
      </c>
      <c r="AB60" s="541">
        <f t="shared" si="74"/>
        <v>0.10424309382166196</v>
      </c>
      <c r="AC60" s="541">
        <f t="shared" si="74"/>
        <v>0.10958707660749863</v>
      </c>
      <c r="AD60" s="541">
        <f t="shared" si="74"/>
        <v>0.11632009568380877</v>
      </c>
      <c r="AE60" s="541">
        <f t="shared" si="74"/>
        <v>0.10823621058910292</v>
      </c>
      <c r="AF60" s="541">
        <f t="shared" si="74"/>
        <v>0.1150035342893439</v>
      </c>
      <c r="AG60" s="541">
        <f t="shared" si="74"/>
        <v>0.1321152822258872</v>
      </c>
      <c r="AH60" s="541">
        <f t="shared" si="74"/>
        <v>0.1387274549480256</v>
      </c>
      <c r="AI60" s="541">
        <f t="shared" si="74"/>
        <v>0.13758258726513733</v>
      </c>
      <c r="AJ60" s="541">
        <f t="shared" si="74"/>
        <v>0.14111941643275916</v>
      </c>
      <c r="AK60" s="541">
        <f t="shared" si="74"/>
        <v>0.14453469062755048</v>
      </c>
      <c r="AL60" s="541">
        <f t="shared" si="74"/>
        <v>0.14844185128713591</v>
      </c>
      <c r="AM60" s="541">
        <f t="shared" si="74"/>
        <v>0.14860929886990754</v>
      </c>
      <c r="AN60" s="541">
        <f t="shared" si="74"/>
        <v>0.15022391827017334</v>
      </c>
      <c r="AO60" s="541">
        <f t="shared" si="74"/>
        <v>0.15055153678361852</v>
      </c>
      <c r="AP60" s="541">
        <f t="shared" si="74"/>
        <v>0.15168285190285069</v>
      </c>
      <c r="AQ60" s="541">
        <f t="shared" si="74"/>
        <v>0.14543392548551101</v>
      </c>
      <c r="AR60" s="541">
        <f t="shared" si="74"/>
        <v>0.14504463133167886</v>
      </c>
      <c r="AS60" s="541">
        <f t="shared" si="74"/>
        <v>0.14528275238192642</v>
      </c>
      <c r="AT60" s="541">
        <f t="shared" si="74"/>
        <v>0.14556619039105939</v>
      </c>
      <c r="AU60" s="541">
        <f t="shared" si="74"/>
        <v>0.13622208678609191</v>
      </c>
      <c r="AV60" s="545">
        <f t="shared" si="74"/>
        <v>0.13143964702409103</v>
      </c>
      <c r="AW60" s="545">
        <f t="shared" ref="AW60:AX60" si="75">+AW28/AW42</f>
        <v>0.12466947419658683</v>
      </c>
      <c r="AX60" s="545">
        <f t="shared" si="75"/>
        <v>0.12101701456837748</v>
      </c>
      <c r="AY60" s="545">
        <f t="shared" ref="AY60" si="76">+AY28/AY42</f>
        <v>0.11299261099197554</v>
      </c>
      <c r="BA60" s="545">
        <v>0.11346067445466868</v>
      </c>
      <c r="BB60" s="545">
        <v>9.2145220629909624E-2</v>
      </c>
      <c r="BC60" s="545">
        <v>9.265656208990021E-2</v>
      </c>
      <c r="BD60" s="545">
        <v>8.3529529534119032E-2</v>
      </c>
      <c r="BE60" s="545">
        <v>8.3351214872305443E-2</v>
      </c>
      <c r="BF60" s="545">
        <v>6.8108200681720674E-2</v>
      </c>
      <c r="BG60" s="546">
        <v>6.7900000000000002E-2</v>
      </c>
      <c r="BH60" s="546">
        <v>6.7419854451772232E-2</v>
      </c>
      <c r="BI60" s="546">
        <v>6.0715945906874805E-2</v>
      </c>
      <c r="BJ60" s="546">
        <v>5.7655324560582755E-2</v>
      </c>
      <c r="BK60" s="546">
        <v>5.7094464872170632E-2</v>
      </c>
      <c r="BL60" s="546">
        <v>5.0114525130948114E-2</v>
      </c>
      <c r="BM60" s="546">
        <v>4.6954772097561735E-2</v>
      </c>
      <c r="BN60" s="546">
        <v>4.0188221385782506E-2</v>
      </c>
      <c r="BO60" s="546">
        <v>3.1997913581060376E-2</v>
      </c>
      <c r="BP60" s="546">
        <v>2.8218160677880133E-2</v>
      </c>
      <c r="BQ60" s="546">
        <v>2.5598148539570185E-2</v>
      </c>
      <c r="BR60" s="546">
        <v>2.0168590933207189E-2</v>
      </c>
      <c r="BS60" s="546">
        <v>2.0074928497532663E-2</v>
      </c>
      <c r="BT60" s="546">
        <v>1.7813189664852937E-2</v>
      </c>
      <c r="BU60" s="546">
        <v>1.6763098289860324E-2</v>
      </c>
      <c r="BV60" s="546">
        <v>1.4090017272858239E-2</v>
      </c>
      <c r="BW60" s="546">
        <v>1.3206202833831374E-2</v>
      </c>
      <c r="BX60" s="546">
        <v>1.1365611145650403E-2</v>
      </c>
      <c r="BY60" s="546">
        <v>1.246415482765369E-2</v>
      </c>
      <c r="BZ60" s="546">
        <v>1.1824512764355293E-2</v>
      </c>
      <c r="CA60" s="546">
        <v>1.2206104949663336E-2</v>
      </c>
      <c r="CB60" s="546">
        <v>1.3197461383948705E-2</v>
      </c>
      <c r="CC60" s="546">
        <v>1.2939009917811471E-2</v>
      </c>
      <c r="CD60" s="546">
        <v>1.122099532964428E-2</v>
      </c>
      <c r="CE60" s="546">
        <v>1.2202105651320641E-2</v>
      </c>
      <c r="CF60" s="546">
        <v>1.139984374681772E-2</v>
      </c>
      <c r="CG60" s="546">
        <v>1.1838949112944789E-2</v>
      </c>
      <c r="CH60" s="546">
        <v>1.0145072477204004E-2</v>
      </c>
      <c r="CI60" s="546">
        <v>1.0521278285975651E-2</v>
      </c>
    </row>
    <row r="61" spans="1:87">
      <c r="A61" s="547"/>
      <c r="B61" s="548"/>
      <c r="C61" s="549"/>
      <c r="D61" s="550"/>
      <c r="E61" s="549"/>
      <c r="F61" s="548"/>
      <c r="G61" s="548"/>
      <c r="H61" s="548"/>
      <c r="I61" s="548"/>
      <c r="J61" s="548"/>
      <c r="K61" s="548"/>
      <c r="L61" s="548"/>
      <c r="M61" s="548"/>
      <c r="N61" s="548"/>
      <c r="O61" s="548"/>
      <c r="P61" s="548"/>
      <c r="Q61" s="548"/>
      <c r="R61" s="548"/>
      <c r="S61" s="548"/>
      <c r="T61" s="548"/>
      <c r="U61" s="548"/>
      <c r="V61" s="548"/>
      <c r="W61" s="548"/>
      <c r="X61" s="548"/>
      <c r="Y61" s="548"/>
      <c r="Z61" s="548"/>
      <c r="AA61" s="548"/>
      <c r="AB61" s="548"/>
      <c r="AC61" s="548"/>
      <c r="AD61" s="548"/>
      <c r="AE61" s="548"/>
      <c r="AF61" s="548"/>
      <c r="AG61" s="548"/>
      <c r="AH61" s="548"/>
      <c r="AI61" s="548"/>
      <c r="AJ61" s="548"/>
      <c r="AK61" s="548"/>
      <c r="AL61" s="548"/>
      <c r="AM61" s="548"/>
      <c r="AN61" s="548"/>
      <c r="AO61" s="548"/>
      <c r="AP61" s="548"/>
      <c r="AQ61" s="548"/>
      <c r="AR61" s="548"/>
      <c r="AS61" s="548"/>
      <c r="AT61" s="548"/>
      <c r="AU61" s="548"/>
    </row>
    <row r="62" spans="1:87" s="554" customFormat="1">
      <c r="A62" s="551"/>
      <c r="B62" s="552"/>
      <c r="C62" s="552"/>
      <c r="D62" s="553"/>
      <c r="E62" s="552"/>
      <c r="F62" s="552"/>
      <c r="G62" s="552"/>
      <c r="H62" s="552"/>
      <c r="I62" s="552"/>
      <c r="J62" s="552"/>
      <c r="K62" s="552"/>
      <c r="L62" s="552"/>
      <c r="M62" s="552"/>
      <c r="N62" s="552"/>
      <c r="O62" s="552"/>
      <c r="P62" s="552"/>
      <c r="Q62" s="552"/>
      <c r="R62" s="552"/>
      <c r="S62" s="552"/>
      <c r="T62" s="552"/>
      <c r="U62" s="552"/>
      <c r="V62" s="552"/>
      <c r="W62" s="552"/>
      <c r="X62" s="552"/>
      <c r="Y62" s="552"/>
      <c r="Z62" s="552"/>
      <c r="AA62" s="552"/>
      <c r="AB62" s="552"/>
      <c r="AC62" s="552"/>
      <c r="AD62" s="552"/>
      <c r="AE62" s="552"/>
      <c r="AF62" s="552"/>
      <c r="AG62" s="552"/>
      <c r="AH62" s="552"/>
      <c r="AI62" s="552"/>
      <c r="AJ62" s="552"/>
      <c r="AK62" s="552"/>
      <c r="AL62" s="552"/>
      <c r="AM62" s="552"/>
      <c r="AN62" s="552"/>
      <c r="AO62" s="552"/>
      <c r="AP62" s="552"/>
      <c r="AQ62" s="552"/>
      <c r="AR62" s="552"/>
      <c r="AS62" s="552"/>
      <c r="AT62" s="552"/>
      <c r="AU62" s="552"/>
      <c r="AV62" s="552"/>
      <c r="AW62" s="552"/>
      <c r="AX62" s="552"/>
      <c r="AY62" s="552"/>
    </row>
    <row r="63" spans="1:87" s="554" customFormat="1">
      <c r="A63" s="551"/>
      <c r="B63" s="552"/>
      <c r="C63" s="555"/>
      <c r="D63" s="555"/>
      <c r="E63" s="555"/>
      <c r="F63" s="555"/>
      <c r="G63" s="555"/>
      <c r="H63" s="555"/>
      <c r="I63" s="555"/>
      <c r="J63" s="555"/>
      <c r="K63" s="555"/>
      <c r="L63" s="555"/>
      <c r="M63" s="555"/>
      <c r="N63" s="555"/>
      <c r="O63" s="555"/>
      <c r="P63" s="555"/>
      <c r="Q63" s="555"/>
      <c r="R63" s="555"/>
      <c r="S63" s="555"/>
      <c r="T63" s="555"/>
      <c r="U63" s="555"/>
      <c r="V63" s="555"/>
      <c r="W63" s="555"/>
      <c r="X63" s="555"/>
      <c r="Y63" s="555"/>
      <c r="Z63" s="555"/>
      <c r="AA63" s="555"/>
      <c r="AB63" s="555"/>
      <c r="AC63" s="555"/>
      <c r="AD63" s="555"/>
      <c r="AE63" s="555"/>
      <c r="AF63" s="555"/>
      <c r="AG63" s="555"/>
      <c r="AH63" s="555"/>
      <c r="AI63" s="555"/>
      <c r="AJ63" s="555"/>
      <c r="AK63" s="555"/>
      <c r="AL63" s="555"/>
      <c r="AM63" s="555"/>
      <c r="AN63" s="555"/>
      <c r="AO63" s="555"/>
      <c r="AP63" s="555"/>
      <c r="AQ63" s="555"/>
      <c r="AR63" s="555"/>
      <c r="AS63" s="555"/>
      <c r="AT63" s="555"/>
      <c r="AU63" s="555"/>
      <c r="AV63" s="555"/>
      <c r="AW63" s="555"/>
      <c r="AX63" s="555"/>
      <c r="AY63" s="555"/>
    </row>
    <row r="65" spans="3:51">
      <c r="C65" s="556"/>
      <c r="D65" s="556"/>
      <c r="E65" s="556"/>
      <c r="F65" s="556"/>
      <c r="G65" s="556"/>
      <c r="H65" s="556"/>
      <c r="I65" s="556"/>
      <c r="J65" s="556"/>
      <c r="K65" s="556"/>
      <c r="L65" s="556"/>
      <c r="M65" s="556"/>
      <c r="N65" s="556"/>
      <c r="O65" s="556"/>
      <c r="P65" s="556"/>
      <c r="Q65" s="556"/>
      <c r="R65" s="556"/>
      <c r="S65" s="556"/>
      <c r="T65" s="556"/>
      <c r="U65" s="556"/>
      <c r="V65" s="556"/>
      <c r="W65" s="556"/>
      <c r="X65" s="556"/>
      <c r="Y65" s="556"/>
      <c r="Z65" s="556"/>
      <c r="AA65" s="556"/>
      <c r="AB65" s="556"/>
      <c r="AC65" s="556"/>
      <c r="AD65" s="556"/>
      <c r="AE65" s="556"/>
      <c r="AF65" s="556"/>
      <c r="AG65" s="556"/>
      <c r="AH65" s="556"/>
      <c r="AI65" s="556"/>
      <c r="AJ65" s="556"/>
      <c r="AK65" s="556"/>
      <c r="AL65" s="556"/>
      <c r="AM65" s="556"/>
      <c r="AN65" s="556"/>
      <c r="AO65" s="556"/>
      <c r="AP65" s="556"/>
      <c r="AQ65" s="556"/>
      <c r="AR65" s="556"/>
      <c r="AS65" s="556"/>
      <c r="AT65" s="556"/>
      <c r="AU65" s="556"/>
      <c r="AV65" s="556"/>
      <c r="AW65" s="556"/>
      <c r="AX65" s="556"/>
      <c r="AY65" s="556"/>
    </row>
    <row r="66" spans="3:51">
      <c r="C66" s="556"/>
      <c r="D66" s="556"/>
      <c r="E66" s="556"/>
      <c r="F66" s="556"/>
      <c r="G66" s="556"/>
      <c r="H66" s="556"/>
      <c r="I66" s="556"/>
      <c r="J66" s="556"/>
      <c r="K66" s="556"/>
      <c r="L66" s="556"/>
      <c r="M66" s="556"/>
      <c r="N66" s="556"/>
      <c r="O66" s="556"/>
      <c r="P66" s="556"/>
      <c r="Q66" s="556"/>
      <c r="R66" s="556"/>
      <c r="S66" s="556"/>
      <c r="T66" s="556"/>
      <c r="U66" s="556"/>
      <c r="V66" s="556"/>
      <c r="W66" s="556"/>
      <c r="X66" s="556"/>
      <c r="Y66" s="556"/>
      <c r="Z66" s="556"/>
      <c r="AA66" s="556"/>
      <c r="AB66" s="556"/>
      <c r="AC66" s="556"/>
      <c r="AD66" s="556"/>
      <c r="AE66" s="556"/>
      <c r="AF66" s="556"/>
      <c r="AG66" s="556"/>
      <c r="AH66" s="556"/>
      <c r="AI66" s="556"/>
      <c r="AJ66" s="556"/>
      <c r="AK66" s="556"/>
      <c r="AL66" s="556"/>
      <c r="AM66" s="556"/>
      <c r="AN66" s="556"/>
      <c r="AO66" s="556"/>
      <c r="AP66" s="556"/>
      <c r="AQ66" s="556"/>
      <c r="AR66" s="556"/>
      <c r="AS66" s="556"/>
      <c r="AT66" s="556"/>
      <c r="AU66" s="556"/>
      <c r="AV66" s="556"/>
      <c r="AW66" s="556"/>
      <c r="AX66" s="556"/>
      <c r="AY66" s="556"/>
    </row>
    <row r="67" spans="3:51">
      <c r="C67" s="556"/>
      <c r="D67" s="556"/>
      <c r="E67" s="556"/>
      <c r="F67" s="556"/>
      <c r="G67" s="556"/>
      <c r="H67" s="556"/>
      <c r="I67" s="556"/>
      <c r="J67" s="556"/>
      <c r="K67" s="556"/>
      <c r="L67" s="556"/>
      <c r="M67" s="556"/>
      <c r="N67" s="556"/>
      <c r="O67" s="556"/>
      <c r="P67" s="556"/>
      <c r="Q67" s="556"/>
      <c r="R67" s="556"/>
      <c r="S67" s="556"/>
      <c r="T67" s="556"/>
      <c r="U67" s="556"/>
      <c r="V67" s="556"/>
      <c r="W67" s="556"/>
      <c r="X67" s="556"/>
      <c r="Y67" s="556"/>
      <c r="Z67" s="556"/>
      <c r="AA67" s="556"/>
      <c r="AB67" s="556"/>
      <c r="AC67" s="556"/>
      <c r="AD67" s="556"/>
      <c r="AE67" s="556"/>
      <c r="AF67" s="556"/>
      <c r="AG67" s="556"/>
      <c r="AH67" s="556"/>
      <c r="AI67" s="556"/>
      <c r="AJ67" s="556"/>
      <c r="AK67" s="556"/>
      <c r="AL67" s="556"/>
      <c r="AM67" s="556"/>
      <c r="AN67" s="556"/>
      <c r="AO67" s="556"/>
      <c r="AP67" s="556"/>
      <c r="AQ67" s="556"/>
      <c r="AR67" s="556"/>
      <c r="AS67" s="556"/>
      <c r="AT67" s="556"/>
      <c r="AU67" s="556"/>
      <c r="AV67" s="556"/>
      <c r="AW67" s="556"/>
      <c r="AX67" s="556"/>
      <c r="AY67" s="556"/>
    </row>
    <row r="68" spans="3:51">
      <c r="C68" s="556"/>
      <c r="D68" s="556"/>
      <c r="E68" s="556"/>
      <c r="F68" s="556"/>
      <c r="G68" s="556"/>
      <c r="H68" s="556"/>
      <c r="I68" s="556"/>
      <c r="J68" s="556"/>
      <c r="K68" s="556"/>
      <c r="L68" s="556"/>
      <c r="M68" s="556"/>
      <c r="N68" s="556"/>
      <c r="O68" s="556"/>
      <c r="P68" s="556"/>
      <c r="Q68" s="556"/>
      <c r="R68" s="556"/>
      <c r="S68" s="556"/>
      <c r="T68" s="556"/>
      <c r="U68" s="556"/>
      <c r="V68" s="556"/>
      <c r="W68" s="556"/>
      <c r="X68" s="556"/>
      <c r="Y68" s="556"/>
      <c r="Z68" s="556"/>
      <c r="AA68" s="556"/>
      <c r="AB68" s="556"/>
      <c r="AC68" s="556"/>
      <c r="AD68" s="556"/>
      <c r="AE68" s="556"/>
      <c r="AF68" s="556"/>
      <c r="AG68" s="556"/>
      <c r="AH68" s="556"/>
      <c r="AI68" s="556"/>
      <c r="AJ68" s="556"/>
      <c r="AK68" s="556"/>
      <c r="AL68" s="556"/>
      <c r="AM68" s="556"/>
      <c r="AN68" s="556"/>
      <c r="AO68" s="556"/>
      <c r="AP68" s="556"/>
      <c r="AQ68" s="556"/>
      <c r="AR68" s="556"/>
      <c r="AS68" s="556"/>
      <c r="AT68" s="556"/>
      <c r="AU68" s="556"/>
      <c r="AV68" s="556"/>
      <c r="AW68" s="556"/>
      <c r="AX68" s="556"/>
      <c r="AY68" s="556"/>
    </row>
    <row r="69" spans="3:51">
      <c r="C69" s="556"/>
      <c r="D69" s="556"/>
      <c r="E69" s="556"/>
      <c r="F69" s="556"/>
      <c r="G69" s="556"/>
      <c r="H69" s="556"/>
      <c r="I69" s="556"/>
      <c r="J69" s="556"/>
      <c r="K69" s="556"/>
      <c r="L69" s="556"/>
      <c r="M69" s="556"/>
      <c r="N69" s="556"/>
      <c r="O69" s="556"/>
      <c r="P69" s="556"/>
      <c r="Q69" s="556"/>
      <c r="R69" s="556"/>
      <c r="S69" s="556"/>
      <c r="T69" s="556"/>
      <c r="U69" s="556"/>
      <c r="V69" s="556"/>
      <c r="W69" s="556"/>
      <c r="X69" s="556"/>
      <c r="Y69" s="556"/>
      <c r="Z69" s="556"/>
      <c r="AA69" s="556"/>
      <c r="AB69" s="556"/>
      <c r="AC69" s="556"/>
      <c r="AD69" s="556"/>
      <c r="AE69" s="556"/>
      <c r="AF69" s="556"/>
      <c r="AG69" s="556"/>
      <c r="AH69" s="556"/>
      <c r="AI69" s="556"/>
      <c r="AJ69" s="556"/>
      <c r="AK69" s="556"/>
      <c r="AL69" s="556"/>
      <c r="AM69" s="556"/>
      <c r="AN69" s="556"/>
      <c r="AO69" s="556"/>
      <c r="AP69" s="556"/>
      <c r="AQ69" s="556"/>
      <c r="AR69" s="556"/>
      <c r="AS69" s="556"/>
      <c r="AT69" s="556"/>
      <c r="AU69" s="556"/>
      <c r="AV69" s="556"/>
      <c r="AW69" s="556"/>
      <c r="AX69" s="556"/>
      <c r="AY69" s="556"/>
    </row>
    <row r="70" spans="3:51">
      <c r="C70" s="556"/>
      <c r="D70" s="556"/>
      <c r="E70" s="556"/>
      <c r="F70" s="556"/>
      <c r="G70" s="556"/>
      <c r="H70" s="556"/>
      <c r="I70" s="556"/>
      <c r="J70" s="556"/>
      <c r="K70" s="556"/>
      <c r="L70" s="556"/>
      <c r="M70" s="556"/>
      <c r="N70" s="556"/>
      <c r="O70" s="556"/>
      <c r="P70" s="556"/>
      <c r="Q70" s="556"/>
      <c r="R70" s="556"/>
      <c r="S70" s="556"/>
      <c r="T70" s="556"/>
      <c r="U70" s="556"/>
      <c r="V70" s="556"/>
      <c r="W70" s="556"/>
      <c r="X70" s="556"/>
      <c r="Y70" s="556"/>
      <c r="Z70" s="556"/>
      <c r="AA70" s="556"/>
      <c r="AB70" s="556"/>
      <c r="AC70" s="556"/>
      <c r="AD70" s="556"/>
      <c r="AE70" s="556"/>
      <c r="AF70" s="556"/>
      <c r="AG70" s="556"/>
      <c r="AH70" s="556"/>
      <c r="AI70" s="556"/>
      <c r="AJ70" s="556"/>
      <c r="AK70" s="556"/>
      <c r="AL70" s="556"/>
      <c r="AM70" s="556"/>
      <c r="AN70" s="556"/>
      <c r="AO70" s="556"/>
      <c r="AP70" s="556"/>
      <c r="AQ70" s="556"/>
      <c r="AR70" s="556"/>
      <c r="AS70" s="556"/>
      <c r="AT70" s="556"/>
      <c r="AU70" s="556"/>
      <c r="AV70" s="556"/>
      <c r="AW70" s="556"/>
      <c r="AX70" s="556"/>
      <c r="AY70" s="556"/>
    </row>
    <row r="71" spans="3:51">
      <c r="C71" s="556"/>
      <c r="D71" s="556"/>
      <c r="E71" s="556"/>
      <c r="F71" s="556"/>
      <c r="G71" s="556"/>
      <c r="H71" s="556"/>
      <c r="I71" s="556"/>
      <c r="J71" s="556"/>
      <c r="K71" s="556"/>
      <c r="L71" s="556"/>
      <c r="M71" s="556"/>
      <c r="N71" s="556"/>
      <c r="O71" s="556"/>
      <c r="P71" s="556"/>
      <c r="Q71" s="556"/>
      <c r="R71" s="556"/>
      <c r="S71" s="556"/>
      <c r="T71" s="556"/>
      <c r="U71" s="556"/>
      <c r="V71" s="556"/>
      <c r="W71" s="556"/>
      <c r="X71" s="556"/>
      <c r="Y71" s="556"/>
      <c r="Z71" s="556"/>
      <c r="AA71" s="556"/>
      <c r="AB71" s="556"/>
      <c r="AC71" s="556"/>
      <c r="AD71" s="556"/>
      <c r="AE71" s="556"/>
      <c r="AF71" s="556"/>
      <c r="AG71" s="556"/>
      <c r="AH71" s="556"/>
      <c r="AI71" s="556"/>
      <c r="AJ71" s="556"/>
      <c r="AK71" s="556"/>
      <c r="AL71" s="556"/>
      <c r="AM71" s="556"/>
      <c r="AN71" s="556"/>
      <c r="AO71" s="556"/>
      <c r="AP71" s="556"/>
      <c r="AQ71" s="556"/>
      <c r="AR71" s="556"/>
      <c r="AS71" s="556"/>
      <c r="AT71" s="556"/>
      <c r="AU71" s="556"/>
      <c r="AV71" s="556"/>
      <c r="AW71" s="556"/>
      <c r="AX71" s="556"/>
      <c r="AY71" s="556"/>
    </row>
  </sheetData>
  <mergeCells count="7">
    <mergeCell ref="BU1:BU3"/>
    <mergeCell ref="BT1:BT3"/>
    <mergeCell ref="BS1:BS3"/>
    <mergeCell ref="BL1:BL3"/>
    <mergeCell ref="BM1:BM3"/>
    <mergeCell ref="BN1:BN3"/>
    <mergeCell ref="BR1:BR3"/>
  </mergeCells>
  <pageMargins left="0.43307086614173229" right="0.15748031496062992" top="0.35433070866141736" bottom="0.19685039370078741" header="0.15748031496062992" footer="0.15748031496062992"/>
  <pageSetup paperSize="8" scale="6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3399"/>
    <pageSetUpPr fitToPage="1"/>
  </sheetPr>
  <dimension ref="A1:I58"/>
  <sheetViews>
    <sheetView showGridLines="0" zoomScale="120" zoomScaleNormal="120" workbookViewId="0">
      <selection activeCell="A31" sqref="A31:E31"/>
    </sheetView>
  </sheetViews>
  <sheetFormatPr defaultColWidth="8.85546875" defaultRowHeight="12.75"/>
  <cols>
    <col min="1" max="1" width="4.85546875" style="96" customWidth="1"/>
    <col min="2" max="2" width="52.7109375" style="96" customWidth="1"/>
    <col min="3" max="3" width="8.7109375" style="96" bestFit="1" customWidth="1"/>
    <col min="4" max="4" width="9.140625" style="96" bestFit="1" customWidth="1"/>
    <col min="5" max="5" width="9.140625" style="96" customWidth="1"/>
    <col min="6" max="6" width="10.7109375" style="96" customWidth="1"/>
    <col min="7" max="233" width="8.85546875" style="96"/>
    <col min="234" max="234" width="4.85546875" style="96" customWidth="1"/>
    <col min="235" max="237" width="2.140625" style="96" customWidth="1"/>
    <col min="238" max="238" width="31.5703125" style="96" customWidth="1"/>
    <col min="239" max="241" width="10.42578125" style="96" customWidth="1"/>
    <col min="242" max="243" width="9.42578125" style="96" customWidth="1"/>
    <col min="244" max="244" width="14.28515625" style="96" customWidth="1"/>
    <col min="245" max="246" width="11.7109375" style="96" customWidth="1"/>
    <col min="247" max="489" width="8.85546875" style="96"/>
    <col min="490" max="490" width="4.85546875" style="96" customWidth="1"/>
    <col min="491" max="493" width="2.140625" style="96" customWidth="1"/>
    <col min="494" max="494" width="31.5703125" style="96" customWidth="1"/>
    <col min="495" max="497" width="10.42578125" style="96" customWidth="1"/>
    <col min="498" max="499" width="9.42578125" style="96" customWidth="1"/>
    <col min="500" max="500" width="14.28515625" style="96" customWidth="1"/>
    <col min="501" max="502" width="11.7109375" style="96" customWidth="1"/>
    <col min="503" max="745" width="8.85546875" style="96"/>
    <col min="746" max="746" width="4.85546875" style="96" customWidth="1"/>
    <col min="747" max="749" width="2.140625" style="96" customWidth="1"/>
    <col min="750" max="750" width="31.5703125" style="96" customWidth="1"/>
    <col min="751" max="753" width="10.42578125" style="96" customWidth="1"/>
    <col min="754" max="755" width="9.42578125" style="96" customWidth="1"/>
    <col min="756" max="756" width="14.28515625" style="96" customWidth="1"/>
    <col min="757" max="758" width="11.7109375" style="96" customWidth="1"/>
    <col min="759" max="1001" width="8.85546875" style="96"/>
    <col min="1002" max="1002" width="4.85546875" style="96" customWidth="1"/>
    <col min="1003" max="1005" width="2.140625" style="96" customWidth="1"/>
    <col min="1006" max="1006" width="31.5703125" style="96" customWidth="1"/>
    <col min="1007" max="1009" width="10.42578125" style="96" customWidth="1"/>
    <col min="1010" max="1011" width="9.42578125" style="96" customWidth="1"/>
    <col min="1012" max="1012" width="14.28515625" style="96" customWidth="1"/>
    <col min="1013" max="1014" width="11.7109375" style="96" customWidth="1"/>
    <col min="1015" max="1257" width="8.85546875" style="96"/>
    <col min="1258" max="1258" width="4.85546875" style="96" customWidth="1"/>
    <col min="1259" max="1261" width="2.140625" style="96" customWidth="1"/>
    <col min="1262" max="1262" width="31.5703125" style="96" customWidth="1"/>
    <col min="1263" max="1265" width="10.42578125" style="96" customWidth="1"/>
    <col min="1266" max="1267" width="9.42578125" style="96" customWidth="1"/>
    <col min="1268" max="1268" width="14.28515625" style="96" customWidth="1"/>
    <col min="1269" max="1270" width="11.7109375" style="96" customWidth="1"/>
    <col min="1271" max="1513" width="8.85546875" style="96"/>
    <col min="1514" max="1514" width="4.85546875" style="96" customWidth="1"/>
    <col min="1515" max="1517" width="2.140625" style="96" customWidth="1"/>
    <col min="1518" max="1518" width="31.5703125" style="96" customWidth="1"/>
    <col min="1519" max="1521" width="10.42578125" style="96" customWidth="1"/>
    <col min="1522" max="1523" width="9.42578125" style="96" customWidth="1"/>
    <col min="1524" max="1524" width="14.28515625" style="96" customWidth="1"/>
    <col min="1525" max="1526" width="11.7109375" style="96" customWidth="1"/>
    <col min="1527" max="1769" width="8.85546875" style="96"/>
    <col min="1770" max="1770" width="4.85546875" style="96" customWidth="1"/>
    <col min="1771" max="1773" width="2.140625" style="96" customWidth="1"/>
    <col min="1774" max="1774" width="31.5703125" style="96" customWidth="1"/>
    <col min="1775" max="1777" width="10.42578125" style="96" customWidth="1"/>
    <col min="1778" max="1779" width="9.42578125" style="96" customWidth="1"/>
    <col min="1780" max="1780" width="14.28515625" style="96" customWidth="1"/>
    <col min="1781" max="1782" width="11.7109375" style="96" customWidth="1"/>
    <col min="1783" max="2025" width="8.85546875" style="96"/>
    <col min="2026" max="2026" width="4.85546875" style="96" customWidth="1"/>
    <col min="2027" max="2029" width="2.140625" style="96" customWidth="1"/>
    <col min="2030" max="2030" width="31.5703125" style="96" customWidth="1"/>
    <col min="2031" max="2033" width="10.42578125" style="96" customWidth="1"/>
    <col min="2034" max="2035" width="9.42578125" style="96" customWidth="1"/>
    <col min="2036" max="2036" width="14.28515625" style="96" customWidth="1"/>
    <col min="2037" max="2038" width="11.7109375" style="96" customWidth="1"/>
    <col min="2039" max="2281" width="8.85546875" style="96"/>
    <col min="2282" max="2282" width="4.85546875" style="96" customWidth="1"/>
    <col min="2283" max="2285" width="2.140625" style="96" customWidth="1"/>
    <col min="2286" max="2286" width="31.5703125" style="96" customWidth="1"/>
    <col min="2287" max="2289" width="10.42578125" style="96" customWidth="1"/>
    <col min="2290" max="2291" width="9.42578125" style="96" customWidth="1"/>
    <col min="2292" max="2292" width="14.28515625" style="96" customWidth="1"/>
    <col min="2293" max="2294" width="11.7109375" style="96" customWidth="1"/>
    <col min="2295" max="2537" width="8.85546875" style="96"/>
    <col min="2538" max="2538" width="4.85546875" style="96" customWidth="1"/>
    <col min="2539" max="2541" width="2.140625" style="96" customWidth="1"/>
    <col min="2542" max="2542" width="31.5703125" style="96" customWidth="1"/>
    <col min="2543" max="2545" width="10.42578125" style="96" customWidth="1"/>
    <col min="2546" max="2547" width="9.42578125" style="96" customWidth="1"/>
    <col min="2548" max="2548" width="14.28515625" style="96" customWidth="1"/>
    <col min="2549" max="2550" width="11.7109375" style="96" customWidth="1"/>
    <col min="2551" max="2793" width="8.85546875" style="96"/>
    <col min="2794" max="2794" width="4.85546875" style="96" customWidth="1"/>
    <col min="2795" max="2797" width="2.140625" style="96" customWidth="1"/>
    <col min="2798" max="2798" width="31.5703125" style="96" customWidth="1"/>
    <col min="2799" max="2801" width="10.42578125" style="96" customWidth="1"/>
    <col min="2802" max="2803" width="9.42578125" style="96" customWidth="1"/>
    <col min="2804" max="2804" width="14.28515625" style="96" customWidth="1"/>
    <col min="2805" max="2806" width="11.7109375" style="96" customWidth="1"/>
    <col min="2807" max="3049" width="8.85546875" style="96"/>
    <col min="3050" max="3050" width="4.85546875" style="96" customWidth="1"/>
    <col min="3051" max="3053" width="2.140625" style="96" customWidth="1"/>
    <col min="3054" max="3054" width="31.5703125" style="96" customWidth="1"/>
    <col min="3055" max="3057" width="10.42578125" style="96" customWidth="1"/>
    <col min="3058" max="3059" width="9.42578125" style="96" customWidth="1"/>
    <col min="3060" max="3060" width="14.28515625" style="96" customWidth="1"/>
    <col min="3061" max="3062" width="11.7109375" style="96" customWidth="1"/>
    <col min="3063" max="3305" width="8.85546875" style="96"/>
    <col min="3306" max="3306" width="4.85546875" style="96" customWidth="1"/>
    <col min="3307" max="3309" width="2.140625" style="96" customWidth="1"/>
    <col min="3310" max="3310" width="31.5703125" style="96" customWidth="1"/>
    <col min="3311" max="3313" width="10.42578125" style="96" customWidth="1"/>
    <col min="3314" max="3315" width="9.42578125" style="96" customWidth="1"/>
    <col min="3316" max="3316" width="14.28515625" style="96" customWidth="1"/>
    <col min="3317" max="3318" width="11.7109375" style="96" customWidth="1"/>
    <col min="3319" max="3561" width="8.85546875" style="96"/>
    <col min="3562" max="3562" width="4.85546875" style="96" customWidth="1"/>
    <col min="3563" max="3565" width="2.140625" style="96" customWidth="1"/>
    <col min="3566" max="3566" width="31.5703125" style="96" customWidth="1"/>
    <col min="3567" max="3569" width="10.42578125" style="96" customWidth="1"/>
    <col min="3570" max="3571" width="9.42578125" style="96" customWidth="1"/>
    <col min="3572" max="3572" width="14.28515625" style="96" customWidth="1"/>
    <col min="3573" max="3574" width="11.7109375" style="96" customWidth="1"/>
    <col min="3575" max="3817" width="8.85546875" style="96"/>
    <col min="3818" max="3818" width="4.85546875" style="96" customWidth="1"/>
    <col min="3819" max="3821" width="2.140625" style="96" customWidth="1"/>
    <col min="3822" max="3822" width="31.5703125" style="96" customWidth="1"/>
    <col min="3823" max="3825" width="10.42578125" style="96" customWidth="1"/>
    <col min="3826" max="3827" width="9.42578125" style="96" customWidth="1"/>
    <col min="3828" max="3828" width="14.28515625" style="96" customWidth="1"/>
    <col min="3829" max="3830" width="11.7109375" style="96" customWidth="1"/>
    <col min="3831" max="4073" width="8.85546875" style="96"/>
    <col min="4074" max="4074" width="4.85546875" style="96" customWidth="1"/>
    <col min="4075" max="4077" width="2.140625" style="96" customWidth="1"/>
    <col min="4078" max="4078" width="31.5703125" style="96" customWidth="1"/>
    <col min="4079" max="4081" width="10.42578125" style="96" customWidth="1"/>
    <col min="4082" max="4083" width="9.42578125" style="96" customWidth="1"/>
    <col min="4084" max="4084" width="14.28515625" style="96" customWidth="1"/>
    <col min="4085" max="4086" width="11.7109375" style="96" customWidth="1"/>
    <col min="4087" max="4329" width="8.85546875" style="96"/>
    <col min="4330" max="4330" width="4.85546875" style="96" customWidth="1"/>
    <col min="4331" max="4333" width="2.140625" style="96" customWidth="1"/>
    <col min="4334" max="4334" width="31.5703125" style="96" customWidth="1"/>
    <col min="4335" max="4337" width="10.42578125" style="96" customWidth="1"/>
    <col min="4338" max="4339" width="9.42578125" style="96" customWidth="1"/>
    <col min="4340" max="4340" width="14.28515625" style="96" customWidth="1"/>
    <col min="4341" max="4342" width="11.7109375" style="96" customWidth="1"/>
    <col min="4343" max="4585" width="8.85546875" style="96"/>
    <col min="4586" max="4586" width="4.85546875" style="96" customWidth="1"/>
    <col min="4587" max="4589" width="2.140625" style="96" customWidth="1"/>
    <col min="4590" max="4590" width="31.5703125" style="96" customWidth="1"/>
    <col min="4591" max="4593" width="10.42578125" style="96" customWidth="1"/>
    <col min="4594" max="4595" width="9.42578125" style="96" customWidth="1"/>
    <col min="4596" max="4596" width="14.28515625" style="96" customWidth="1"/>
    <col min="4597" max="4598" width="11.7109375" style="96" customWidth="1"/>
    <col min="4599" max="4841" width="8.85546875" style="96"/>
    <col min="4842" max="4842" width="4.85546875" style="96" customWidth="1"/>
    <col min="4843" max="4845" width="2.140625" style="96" customWidth="1"/>
    <col min="4846" max="4846" width="31.5703125" style="96" customWidth="1"/>
    <col min="4847" max="4849" width="10.42578125" style="96" customWidth="1"/>
    <col min="4850" max="4851" width="9.42578125" style="96" customWidth="1"/>
    <col min="4852" max="4852" width="14.28515625" style="96" customWidth="1"/>
    <col min="4853" max="4854" width="11.7109375" style="96" customWidth="1"/>
    <col min="4855" max="5097" width="8.85546875" style="96"/>
    <col min="5098" max="5098" width="4.85546875" style="96" customWidth="1"/>
    <col min="5099" max="5101" width="2.140625" style="96" customWidth="1"/>
    <col min="5102" max="5102" width="31.5703125" style="96" customWidth="1"/>
    <col min="5103" max="5105" width="10.42578125" style="96" customWidth="1"/>
    <col min="5106" max="5107" width="9.42578125" style="96" customWidth="1"/>
    <col min="5108" max="5108" width="14.28515625" style="96" customWidth="1"/>
    <col min="5109" max="5110" width="11.7109375" style="96" customWidth="1"/>
    <col min="5111" max="5353" width="8.85546875" style="96"/>
    <col min="5354" max="5354" width="4.85546875" style="96" customWidth="1"/>
    <col min="5355" max="5357" width="2.140625" style="96" customWidth="1"/>
    <col min="5358" max="5358" width="31.5703125" style="96" customWidth="1"/>
    <col min="5359" max="5361" width="10.42578125" style="96" customWidth="1"/>
    <col min="5362" max="5363" width="9.42578125" style="96" customWidth="1"/>
    <col min="5364" max="5364" width="14.28515625" style="96" customWidth="1"/>
    <col min="5365" max="5366" width="11.7109375" style="96" customWidth="1"/>
    <col min="5367" max="5609" width="8.85546875" style="96"/>
    <col min="5610" max="5610" width="4.85546875" style="96" customWidth="1"/>
    <col min="5611" max="5613" width="2.140625" style="96" customWidth="1"/>
    <col min="5614" max="5614" width="31.5703125" style="96" customWidth="1"/>
    <col min="5615" max="5617" width="10.42578125" style="96" customWidth="1"/>
    <col min="5618" max="5619" width="9.42578125" style="96" customWidth="1"/>
    <col min="5620" max="5620" width="14.28515625" style="96" customWidth="1"/>
    <col min="5621" max="5622" width="11.7109375" style="96" customWidth="1"/>
    <col min="5623" max="5865" width="8.85546875" style="96"/>
    <col min="5866" max="5866" width="4.85546875" style="96" customWidth="1"/>
    <col min="5867" max="5869" width="2.140625" style="96" customWidth="1"/>
    <col min="5870" max="5870" width="31.5703125" style="96" customWidth="1"/>
    <col min="5871" max="5873" width="10.42578125" style="96" customWidth="1"/>
    <col min="5874" max="5875" width="9.42578125" style="96" customWidth="1"/>
    <col min="5876" max="5876" width="14.28515625" style="96" customWidth="1"/>
    <col min="5877" max="5878" width="11.7109375" style="96" customWidth="1"/>
    <col min="5879" max="6121" width="8.85546875" style="96"/>
    <col min="6122" max="6122" width="4.85546875" style="96" customWidth="1"/>
    <col min="6123" max="6125" width="2.140625" style="96" customWidth="1"/>
    <col min="6126" max="6126" width="31.5703125" style="96" customWidth="1"/>
    <col min="6127" max="6129" width="10.42578125" style="96" customWidth="1"/>
    <col min="6130" max="6131" width="9.42578125" style="96" customWidth="1"/>
    <col min="6132" max="6132" width="14.28515625" style="96" customWidth="1"/>
    <col min="6133" max="6134" width="11.7109375" style="96" customWidth="1"/>
    <col min="6135" max="6377" width="8.85546875" style="96"/>
    <col min="6378" max="6378" width="4.85546875" style="96" customWidth="1"/>
    <col min="6379" max="6381" width="2.140625" style="96" customWidth="1"/>
    <col min="6382" max="6382" width="31.5703125" style="96" customWidth="1"/>
    <col min="6383" max="6385" width="10.42578125" style="96" customWidth="1"/>
    <col min="6386" max="6387" width="9.42578125" style="96" customWidth="1"/>
    <col min="6388" max="6388" width="14.28515625" style="96" customWidth="1"/>
    <col min="6389" max="6390" width="11.7109375" style="96" customWidth="1"/>
    <col min="6391" max="6633" width="8.85546875" style="96"/>
    <col min="6634" max="6634" width="4.85546875" style="96" customWidth="1"/>
    <col min="6635" max="6637" width="2.140625" style="96" customWidth="1"/>
    <col min="6638" max="6638" width="31.5703125" style="96" customWidth="1"/>
    <col min="6639" max="6641" width="10.42578125" style="96" customWidth="1"/>
    <col min="6642" max="6643" width="9.42578125" style="96" customWidth="1"/>
    <col min="6644" max="6644" width="14.28515625" style="96" customWidth="1"/>
    <col min="6645" max="6646" width="11.7109375" style="96" customWidth="1"/>
    <col min="6647" max="6889" width="8.85546875" style="96"/>
    <col min="6890" max="6890" width="4.85546875" style="96" customWidth="1"/>
    <col min="6891" max="6893" width="2.140625" style="96" customWidth="1"/>
    <col min="6894" max="6894" width="31.5703125" style="96" customWidth="1"/>
    <col min="6895" max="6897" width="10.42578125" style="96" customWidth="1"/>
    <col min="6898" max="6899" width="9.42578125" style="96" customWidth="1"/>
    <col min="6900" max="6900" width="14.28515625" style="96" customWidth="1"/>
    <col min="6901" max="6902" width="11.7109375" style="96" customWidth="1"/>
    <col min="6903" max="7145" width="8.85546875" style="96"/>
    <col min="7146" max="7146" width="4.85546875" style="96" customWidth="1"/>
    <col min="7147" max="7149" width="2.140625" style="96" customWidth="1"/>
    <col min="7150" max="7150" width="31.5703125" style="96" customWidth="1"/>
    <col min="7151" max="7153" width="10.42578125" style="96" customWidth="1"/>
    <col min="7154" max="7155" width="9.42578125" style="96" customWidth="1"/>
    <col min="7156" max="7156" width="14.28515625" style="96" customWidth="1"/>
    <col min="7157" max="7158" width="11.7109375" style="96" customWidth="1"/>
    <col min="7159" max="7401" width="8.85546875" style="96"/>
    <col min="7402" max="7402" width="4.85546875" style="96" customWidth="1"/>
    <col min="7403" max="7405" width="2.140625" style="96" customWidth="1"/>
    <col min="7406" max="7406" width="31.5703125" style="96" customWidth="1"/>
    <col min="7407" max="7409" width="10.42578125" style="96" customWidth="1"/>
    <col min="7410" max="7411" width="9.42578125" style="96" customWidth="1"/>
    <col min="7412" max="7412" width="14.28515625" style="96" customWidth="1"/>
    <col min="7413" max="7414" width="11.7109375" style="96" customWidth="1"/>
    <col min="7415" max="7657" width="8.85546875" style="96"/>
    <col min="7658" max="7658" width="4.85546875" style="96" customWidth="1"/>
    <col min="7659" max="7661" width="2.140625" style="96" customWidth="1"/>
    <col min="7662" max="7662" width="31.5703125" style="96" customWidth="1"/>
    <col min="7663" max="7665" width="10.42578125" style="96" customWidth="1"/>
    <col min="7666" max="7667" width="9.42578125" style="96" customWidth="1"/>
    <col min="7668" max="7668" width="14.28515625" style="96" customWidth="1"/>
    <col min="7669" max="7670" width="11.7109375" style="96" customWidth="1"/>
    <col min="7671" max="7913" width="8.85546875" style="96"/>
    <col min="7914" max="7914" width="4.85546875" style="96" customWidth="1"/>
    <col min="7915" max="7917" width="2.140625" style="96" customWidth="1"/>
    <col min="7918" max="7918" width="31.5703125" style="96" customWidth="1"/>
    <col min="7919" max="7921" width="10.42578125" style="96" customWidth="1"/>
    <col min="7922" max="7923" width="9.42578125" style="96" customWidth="1"/>
    <col min="7924" max="7924" width="14.28515625" style="96" customWidth="1"/>
    <col min="7925" max="7926" width="11.7109375" style="96" customWidth="1"/>
    <col min="7927" max="8169" width="8.85546875" style="96"/>
    <col min="8170" max="8170" width="4.85546875" style="96" customWidth="1"/>
    <col min="8171" max="8173" width="2.140625" style="96" customWidth="1"/>
    <col min="8174" max="8174" width="31.5703125" style="96" customWidth="1"/>
    <col min="8175" max="8177" width="10.42578125" style="96" customWidth="1"/>
    <col min="8178" max="8179" width="9.42578125" style="96" customWidth="1"/>
    <col min="8180" max="8180" width="14.28515625" style="96" customWidth="1"/>
    <col min="8181" max="8182" width="11.7109375" style="96" customWidth="1"/>
    <col min="8183" max="8425" width="8.85546875" style="96"/>
    <col min="8426" max="8426" width="4.85546875" style="96" customWidth="1"/>
    <col min="8427" max="8429" width="2.140625" style="96" customWidth="1"/>
    <col min="8430" max="8430" width="31.5703125" style="96" customWidth="1"/>
    <col min="8431" max="8433" width="10.42578125" style="96" customWidth="1"/>
    <col min="8434" max="8435" width="9.42578125" style="96" customWidth="1"/>
    <col min="8436" max="8436" width="14.28515625" style="96" customWidth="1"/>
    <col min="8437" max="8438" width="11.7109375" style="96" customWidth="1"/>
    <col min="8439" max="8681" width="8.85546875" style="96"/>
    <col min="8682" max="8682" width="4.85546875" style="96" customWidth="1"/>
    <col min="8683" max="8685" width="2.140625" style="96" customWidth="1"/>
    <col min="8686" max="8686" width="31.5703125" style="96" customWidth="1"/>
    <col min="8687" max="8689" width="10.42578125" style="96" customWidth="1"/>
    <col min="8690" max="8691" width="9.42578125" style="96" customWidth="1"/>
    <col min="8692" max="8692" width="14.28515625" style="96" customWidth="1"/>
    <col min="8693" max="8694" width="11.7109375" style="96" customWidth="1"/>
    <col min="8695" max="8937" width="8.85546875" style="96"/>
    <col min="8938" max="8938" width="4.85546875" style="96" customWidth="1"/>
    <col min="8939" max="8941" width="2.140625" style="96" customWidth="1"/>
    <col min="8942" max="8942" width="31.5703125" style="96" customWidth="1"/>
    <col min="8943" max="8945" width="10.42578125" style="96" customWidth="1"/>
    <col min="8946" max="8947" width="9.42578125" style="96" customWidth="1"/>
    <col min="8948" max="8948" width="14.28515625" style="96" customWidth="1"/>
    <col min="8949" max="8950" width="11.7109375" style="96" customWidth="1"/>
    <col min="8951" max="9193" width="8.85546875" style="96"/>
    <col min="9194" max="9194" width="4.85546875" style="96" customWidth="1"/>
    <col min="9195" max="9197" width="2.140625" style="96" customWidth="1"/>
    <col min="9198" max="9198" width="31.5703125" style="96" customWidth="1"/>
    <col min="9199" max="9201" width="10.42578125" style="96" customWidth="1"/>
    <col min="9202" max="9203" width="9.42578125" style="96" customWidth="1"/>
    <col min="9204" max="9204" width="14.28515625" style="96" customWidth="1"/>
    <col min="9205" max="9206" width="11.7109375" style="96" customWidth="1"/>
    <col min="9207" max="9449" width="8.85546875" style="96"/>
    <col min="9450" max="9450" width="4.85546875" style="96" customWidth="1"/>
    <col min="9451" max="9453" width="2.140625" style="96" customWidth="1"/>
    <col min="9454" max="9454" width="31.5703125" style="96" customWidth="1"/>
    <col min="9455" max="9457" width="10.42578125" style="96" customWidth="1"/>
    <col min="9458" max="9459" width="9.42578125" style="96" customWidth="1"/>
    <col min="9460" max="9460" width="14.28515625" style="96" customWidth="1"/>
    <col min="9461" max="9462" width="11.7109375" style="96" customWidth="1"/>
    <col min="9463" max="9705" width="8.85546875" style="96"/>
    <col min="9706" max="9706" width="4.85546875" style="96" customWidth="1"/>
    <col min="9707" max="9709" width="2.140625" style="96" customWidth="1"/>
    <col min="9710" max="9710" width="31.5703125" style="96" customWidth="1"/>
    <col min="9711" max="9713" width="10.42578125" style="96" customWidth="1"/>
    <col min="9714" max="9715" width="9.42578125" style="96" customWidth="1"/>
    <col min="9716" max="9716" width="14.28515625" style="96" customWidth="1"/>
    <col min="9717" max="9718" width="11.7109375" style="96" customWidth="1"/>
    <col min="9719" max="9961" width="8.85546875" style="96"/>
    <col min="9962" max="9962" width="4.85546875" style="96" customWidth="1"/>
    <col min="9963" max="9965" width="2.140625" style="96" customWidth="1"/>
    <col min="9966" max="9966" width="31.5703125" style="96" customWidth="1"/>
    <col min="9967" max="9969" width="10.42578125" style="96" customWidth="1"/>
    <col min="9970" max="9971" width="9.42578125" style="96" customWidth="1"/>
    <col min="9972" max="9972" width="14.28515625" style="96" customWidth="1"/>
    <col min="9973" max="9974" width="11.7109375" style="96" customWidth="1"/>
    <col min="9975" max="10217" width="8.85546875" style="96"/>
    <col min="10218" max="10218" width="4.85546875" style="96" customWidth="1"/>
    <col min="10219" max="10221" width="2.140625" style="96" customWidth="1"/>
    <col min="10222" max="10222" width="31.5703125" style="96" customWidth="1"/>
    <col min="10223" max="10225" width="10.42578125" style="96" customWidth="1"/>
    <col min="10226" max="10227" width="9.42578125" style="96" customWidth="1"/>
    <col min="10228" max="10228" width="14.28515625" style="96" customWidth="1"/>
    <col min="10229" max="10230" width="11.7109375" style="96" customWidth="1"/>
    <col min="10231" max="10473" width="8.85546875" style="96"/>
    <col min="10474" max="10474" width="4.85546875" style="96" customWidth="1"/>
    <col min="10475" max="10477" width="2.140625" style="96" customWidth="1"/>
    <col min="10478" max="10478" width="31.5703125" style="96" customWidth="1"/>
    <col min="10479" max="10481" width="10.42578125" style="96" customWidth="1"/>
    <col min="10482" max="10483" width="9.42578125" style="96" customWidth="1"/>
    <col min="10484" max="10484" width="14.28515625" style="96" customWidth="1"/>
    <col min="10485" max="10486" width="11.7109375" style="96" customWidth="1"/>
    <col min="10487" max="10729" width="8.85546875" style="96"/>
    <col min="10730" max="10730" width="4.85546875" style="96" customWidth="1"/>
    <col min="10731" max="10733" width="2.140625" style="96" customWidth="1"/>
    <col min="10734" max="10734" width="31.5703125" style="96" customWidth="1"/>
    <col min="10735" max="10737" width="10.42578125" style="96" customWidth="1"/>
    <col min="10738" max="10739" width="9.42578125" style="96" customWidth="1"/>
    <col min="10740" max="10740" width="14.28515625" style="96" customWidth="1"/>
    <col min="10741" max="10742" width="11.7109375" style="96" customWidth="1"/>
    <col min="10743" max="10985" width="8.85546875" style="96"/>
    <col min="10986" max="10986" width="4.85546875" style="96" customWidth="1"/>
    <col min="10987" max="10989" width="2.140625" style="96" customWidth="1"/>
    <col min="10990" max="10990" width="31.5703125" style="96" customWidth="1"/>
    <col min="10991" max="10993" width="10.42578125" style="96" customWidth="1"/>
    <col min="10994" max="10995" width="9.42578125" style="96" customWidth="1"/>
    <col min="10996" max="10996" width="14.28515625" style="96" customWidth="1"/>
    <col min="10997" max="10998" width="11.7109375" style="96" customWidth="1"/>
    <col min="10999" max="11241" width="8.85546875" style="96"/>
    <col min="11242" max="11242" width="4.85546875" style="96" customWidth="1"/>
    <col min="11243" max="11245" width="2.140625" style="96" customWidth="1"/>
    <col min="11246" max="11246" width="31.5703125" style="96" customWidth="1"/>
    <col min="11247" max="11249" width="10.42578125" style="96" customWidth="1"/>
    <col min="11250" max="11251" width="9.42578125" style="96" customWidth="1"/>
    <col min="11252" max="11252" width="14.28515625" style="96" customWidth="1"/>
    <col min="11253" max="11254" width="11.7109375" style="96" customWidth="1"/>
    <col min="11255" max="11497" width="8.85546875" style="96"/>
    <col min="11498" max="11498" width="4.85546875" style="96" customWidth="1"/>
    <col min="11499" max="11501" width="2.140625" style="96" customWidth="1"/>
    <col min="11502" max="11502" width="31.5703125" style="96" customWidth="1"/>
    <col min="11503" max="11505" width="10.42578125" style="96" customWidth="1"/>
    <col min="11506" max="11507" width="9.42578125" style="96" customWidth="1"/>
    <col min="11508" max="11508" width="14.28515625" style="96" customWidth="1"/>
    <col min="11509" max="11510" width="11.7109375" style="96" customWidth="1"/>
    <col min="11511" max="11753" width="8.85546875" style="96"/>
    <col min="11754" max="11754" width="4.85546875" style="96" customWidth="1"/>
    <col min="11755" max="11757" width="2.140625" style="96" customWidth="1"/>
    <col min="11758" max="11758" width="31.5703125" style="96" customWidth="1"/>
    <col min="11759" max="11761" width="10.42578125" style="96" customWidth="1"/>
    <col min="11762" max="11763" width="9.42578125" style="96" customWidth="1"/>
    <col min="11764" max="11764" width="14.28515625" style="96" customWidth="1"/>
    <col min="11765" max="11766" width="11.7109375" style="96" customWidth="1"/>
    <col min="11767" max="12009" width="8.85546875" style="96"/>
    <col min="12010" max="12010" width="4.85546875" style="96" customWidth="1"/>
    <col min="12011" max="12013" width="2.140625" style="96" customWidth="1"/>
    <col min="12014" max="12014" width="31.5703125" style="96" customWidth="1"/>
    <col min="12015" max="12017" width="10.42578125" style="96" customWidth="1"/>
    <col min="12018" max="12019" width="9.42578125" style="96" customWidth="1"/>
    <col min="12020" max="12020" width="14.28515625" style="96" customWidth="1"/>
    <col min="12021" max="12022" width="11.7109375" style="96" customWidth="1"/>
    <col min="12023" max="12265" width="8.85546875" style="96"/>
    <col min="12266" max="12266" width="4.85546875" style="96" customWidth="1"/>
    <col min="12267" max="12269" width="2.140625" style="96" customWidth="1"/>
    <col min="12270" max="12270" width="31.5703125" style="96" customWidth="1"/>
    <col min="12271" max="12273" width="10.42578125" style="96" customWidth="1"/>
    <col min="12274" max="12275" width="9.42578125" style="96" customWidth="1"/>
    <col min="12276" max="12276" width="14.28515625" style="96" customWidth="1"/>
    <col min="12277" max="12278" width="11.7109375" style="96" customWidth="1"/>
    <col min="12279" max="12521" width="8.85546875" style="96"/>
    <col min="12522" max="12522" width="4.85546875" style="96" customWidth="1"/>
    <col min="12523" max="12525" width="2.140625" style="96" customWidth="1"/>
    <col min="12526" max="12526" width="31.5703125" style="96" customWidth="1"/>
    <col min="12527" max="12529" width="10.42578125" style="96" customWidth="1"/>
    <col min="12530" max="12531" width="9.42578125" style="96" customWidth="1"/>
    <col min="12532" max="12532" width="14.28515625" style="96" customWidth="1"/>
    <col min="12533" max="12534" width="11.7109375" style="96" customWidth="1"/>
    <col min="12535" max="12777" width="8.85546875" style="96"/>
    <col min="12778" max="12778" width="4.85546875" style="96" customWidth="1"/>
    <col min="12779" max="12781" width="2.140625" style="96" customWidth="1"/>
    <col min="12782" max="12782" width="31.5703125" style="96" customWidth="1"/>
    <col min="12783" max="12785" width="10.42578125" style="96" customWidth="1"/>
    <col min="12786" max="12787" width="9.42578125" style="96" customWidth="1"/>
    <col min="12788" max="12788" width="14.28515625" style="96" customWidth="1"/>
    <col min="12789" max="12790" width="11.7109375" style="96" customWidth="1"/>
    <col min="12791" max="13033" width="8.85546875" style="96"/>
    <col min="13034" max="13034" width="4.85546875" style="96" customWidth="1"/>
    <col min="13035" max="13037" width="2.140625" style="96" customWidth="1"/>
    <col min="13038" max="13038" width="31.5703125" style="96" customWidth="1"/>
    <col min="13039" max="13041" width="10.42578125" style="96" customWidth="1"/>
    <col min="13042" max="13043" width="9.42578125" style="96" customWidth="1"/>
    <col min="13044" max="13044" width="14.28515625" style="96" customWidth="1"/>
    <col min="13045" max="13046" width="11.7109375" style="96" customWidth="1"/>
    <col min="13047" max="13289" width="8.85546875" style="96"/>
    <col min="13290" max="13290" width="4.85546875" style="96" customWidth="1"/>
    <col min="13291" max="13293" width="2.140625" style="96" customWidth="1"/>
    <col min="13294" max="13294" width="31.5703125" style="96" customWidth="1"/>
    <col min="13295" max="13297" width="10.42578125" style="96" customWidth="1"/>
    <col min="13298" max="13299" width="9.42578125" style="96" customWidth="1"/>
    <col min="13300" max="13300" width="14.28515625" style="96" customWidth="1"/>
    <col min="13301" max="13302" width="11.7109375" style="96" customWidth="1"/>
    <col min="13303" max="13545" width="8.85546875" style="96"/>
    <col min="13546" max="13546" width="4.85546875" style="96" customWidth="1"/>
    <col min="13547" max="13549" width="2.140625" style="96" customWidth="1"/>
    <col min="13550" max="13550" width="31.5703125" style="96" customWidth="1"/>
    <col min="13551" max="13553" width="10.42578125" style="96" customWidth="1"/>
    <col min="13554" max="13555" width="9.42578125" style="96" customWidth="1"/>
    <col min="13556" max="13556" width="14.28515625" style="96" customWidth="1"/>
    <col min="13557" max="13558" width="11.7109375" style="96" customWidth="1"/>
    <col min="13559" max="13801" width="8.85546875" style="96"/>
    <col min="13802" max="13802" width="4.85546875" style="96" customWidth="1"/>
    <col min="13803" max="13805" width="2.140625" style="96" customWidth="1"/>
    <col min="13806" max="13806" width="31.5703125" style="96" customWidth="1"/>
    <col min="13807" max="13809" width="10.42578125" style="96" customWidth="1"/>
    <col min="13810" max="13811" width="9.42578125" style="96" customWidth="1"/>
    <col min="13812" max="13812" width="14.28515625" style="96" customWidth="1"/>
    <col min="13813" max="13814" width="11.7109375" style="96" customWidth="1"/>
    <col min="13815" max="14057" width="8.85546875" style="96"/>
    <col min="14058" max="14058" width="4.85546875" style="96" customWidth="1"/>
    <col min="14059" max="14061" width="2.140625" style="96" customWidth="1"/>
    <col min="14062" max="14062" width="31.5703125" style="96" customWidth="1"/>
    <col min="14063" max="14065" width="10.42578125" style="96" customWidth="1"/>
    <col min="14066" max="14067" width="9.42578125" style="96" customWidth="1"/>
    <col min="14068" max="14068" width="14.28515625" style="96" customWidth="1"/>
    <col min="14069" max="14070" width="11.7109375" style="96" customWidth="1"/>
    <col min="14071" max="14313" width="8.85546875" style="96"/>
    <col min="14314" max="14314" width="4.85546875" style="96" customWidth="1"/>
    <col min="14315" max="14317" width="2.140625" style="96" customWidth="1"/>
    <col min="14318" max="14318" width="31.5703125" style="96" customWidth="1"/>
    <col min="14319" max="14321" width="10.42578125" style="96" customWidth="1"/>
    <col min="14322" max="14323" width="9.42578125" style="96" customWidth="1"/>
    <col min="14324" max="14324" width="14.28515625" style="96" customWidth="1"/>
    <col min="14325" max="14326" width="11.7109375" style="96" customWidth="1"/>
    <col min="14327" max="14569" width="8.85546875" style="96"/>
    <col min="14570" max="14570" width="4.85546875" style="96" customWidth="1"/>
    <col min="14571" max="14573" width="2.140625" style="96" customWidth="1"/>
    <col min="14574" max="14574" width="31.5703125" style="96" customWidth="1"/>
    <col min="14575" max="14577" width="10.42578125" style="96" customWidth="1"/>
    <col min="14578" max="14579" width="9.42578125" style="96" customWidth="1"/>
    <col min="14580" max="14580" width="14.28515625" style="96" customWidth="1"/>
    <col min="14581" max="14582" width="11.7109375" style="96" customWidth="1"/>
    <col min="14583" max="14825" width="8.85546875" style="96"/>
    <col min="14826" max="14826" width="4.85546875" style="96" customWidth="1"/>
    <col min="14827" max="14829" width="2.140625" style="96" customWidth="1"/>
    <col min="14830" max="14830" width="31.5703125" style="96" customWidth="1"/>
    <col min="14831" max="14833" width="10.42578125" style="96" customWidth="1"/>
    <col min="14834" max="14835" width="9.42578125" style="96" customWidth="1"/>
    <col min="14836" max="14836" width="14.28515625" style="96" customWidth="1"/>
    <col min="14837" max="14838" width="11.7109375" style="96" customWidth="1"/>
    <col min="14839" max="15081" width="8.85546875" style="96"/>
    <col min="15082" max="15082" width="4.85546875" style="96" customWidth="1"/>
    <col min="15083" max="15085" width="2.140625" style="96" customWidth="1"/>
    <col min="15086" max="15086" width="31.5703125" style="96" customWidth="1"/>
    <col min="15087" max="15089" width="10.42578125" style="96" customWidth="1"/>
    <col min="15090" max="15091" width="9.42578125" style="96" customWidth="1"/>
    <col min="15092" max="15092" width="14.28515625" style="96" customWidth="1"/>
    <col min="15093" max="15094" width="11.7109375" style="96" customWidth="1"/>
    <col min="15095" max="15337" width="8.85546875" style="96"/>
    <col min="15338" max="15338" width="4.85546875" style="96" customWidth="1"/>
    <col min="15339" max="15341" width="2.140625" style="96" customWidth="1"/>
    <col min="15342" max="15342" width="31.5703125" style="96" customWidth="1"/>
    <col min="15343" max="15345" width="10.42578125" style="96" customWidth="1"/>
    <col min="15346" max="15347" width="9.42578125" style="96" customWidth="1"/>
    <col min="15348" max="15348" width="14.28515625" style="96" customWidth="1"/>
    <col min="15349" max="15350" width="11.7109375" style="96" customWidth="1"/>
    <col min="15351" max="15593" width="8.85546875" style="96"/>
    <col min="15594" max="15594" width="4.85546875" style="96" customWidth="1"/>
    <col min="15595" max="15597" width="2.140625" style="96" customWidth="1"/>
    <col min="15598" max="15598" width="31.5703125" style="96" customWidth="1"/>
    <col min="15599" max="15601" width="10.42578125" style="96" customWidth="1"/>
    <col min="15602" max="15603" width="9.42578125" style="96" customWidth="1"/>
    <col min="15604" max="15604" width="14.28515625" style="96" customWidth="1"/>
    <col min="15605" max="15606" width="11.7109375" style="96" customWidth="1"/>
    <col min="15607" max="15849" width="8.85546875" style="96"/>
    <col min="15850" max="15850" width="4.85546875" style="96" customWidth="1"/>
    <col min="15851" max="15853" width="2.140625" style="96" customWidth="1"/>
    <col min="15854" max="15854" width="31.5703125" style="96" customWidth="1"/>
    <col min="15855" max="15857" width="10.42578125" style="96" customWidth="1"/>
    <col min="15858" max="15859" width="9.42578125" style="96" customWidth="1"/>
    <col min="15860" max="15860" width="14.28515625" style="96" customWidth="1"/>
    <col min="15861" max="15862" width="11.7109375" style="96" customWidth="1"/>
    <col min="15863" max="16105" width="8.85546875" style="96"/>
    <col min="16106" max="16106" width="4.85546875" style="96" customWidth="1"/>
    <col min="16107" max="16109" width="2.140625" style="96" customWidth="1"/>
    <col min="16110" max="16110" width="31.5703125" style="96" customWidth="1"/>
    <col min="16111" max="16113" width="10.42578125" style="96" customWidth="1"/>
    <col min="16114" max="16115" width="9.42578125" style="96" customWidth="1"/>
    <col min="16116" max="16116" width="14.28515625" style="96" customWidth="1"/>
    <col min="16117" max="16118" width="11.7109375" style="96" customWidth="1"/>
    <col min="16119" max="16384" width="8.85546875" style="96"/>
  </cols>
  <sheetData>
    <row r="1" spans="1:9" ht="6.75" customHeight="1">
      <c r="A1" s="235"/>
      <c r="B1" s="236"/>
      <c r="C1" s="236"/>
      <c r="D1" s="236"/>
      <c r="E1" s="236"/>
      <c r="F1" s="236"/>
    </row>
    <row r="2" spans="1:9" ht="12" customHeight="1">
      <c r="A2" s="97" t="s">
        <v>388</v>
      </c>
      <c r="B2" s="98"/>
      <c r="C2" s="98"/>
      <c r="D2" s="98"/>
      <c r="E2" s="98"/>
      <c r="F2" s="98"/>
    </row>
    <row r="3" spans="1:9" ht="12" customHeight="1">
      <c r="A3" s="99"/>
      <c r="B3" s="98"/>
      <c r="C3" s="98"/>
      <c r="D3" s="98"/>
      <c r="E3" s="98"/>
      <c r="F3" s="98"/>
      <c r="H3" s="100"/>
    </row>
    <row r="4" spans="1:9" ht="12" customHeight="1">
      <c r="A4" s="97"/>
      <c r="B4" s="98"/>
      <c r="C4" s="98"/>
      <c r="D4" s="98"/>
      <c r="E4" s="98"/>
      <c r="F4" s="98"/>
      <c r="H4" s="101"/>
    </row>
    <row r="5" spans="1:9" ht="15.75" customHeight="1" thickBot="1">
      <c r="A5" s="237" t="s">
        <v>389</v>
      </c>
      <c r="B5" s="237"/>
      <c r="C5" s="237"/>
      <c r="D5" s="237"/>
      <c r="E5" s="237"/>
      <c r="F5" s="102"/>
      <c r="H5" s="103"/>
      <c r="I5" s="103"/>
    </row>
    <row r="6" spans="1:9" s="106" customFormat="1" ht="27" customHeight="1" thickBot="1">
      <c r="A6" s="238" t="s">
        <v>387</v>
      </c>
      <c r="B6" s="238"/>
      <c r="C6" s="104" t="s">
        <v>304</v>
      </c>
      <c r="D6" s="105" t="s">
        <v>390</v>
      </c>
      <c r="E6" s="104" t="s">
        <v>310</v>
      </c>
    </row>
    <row r="7" spans="1:9" ht="11.25" customHeight="1">
      <c r="A7" s="107" t="s">
        <v>4</v>
      </c>
      <c r="B7" s="108" t="s">
        <v>353</v>
      </c>
      <c r="C7" s="109">
        <v>420299</v>
      </c>
      <c r="D7" s="109">
        <v>0</v>
      </c>
      <c r="E7" s="109">
        <v>420299</v>
      </c>
      <c r="F7" s="110"/>
      <c r="H7" s="110"/>
    </row>
    <row r="8" spans="1:9">
      <c r="A8" s="107" t="s">
        <v>6</v>
      </c>
      <c r="B8" s="111" t="s">
        <v>391</v>
      </c>
      <c r="C8" s="109">
        <v>1326601</v>
      </c>
      <c r="D8" s="109">
        <v>-33519</v>
      </c>
      <c r="E8" s="109">
        <v>1293082</v>
      </c>
      <c r="F8" s="110"/>
      <c r="H8" s="110"/>
    </row>
    <row r="9" spans="1:9">
      <c r="A9" s="107"/>
      <c r="B9" s="112" t="s">
        <v>392</v>
      </c>
      <c r="C9" s="113">
        <v>414294</v>
      </c>
      <c r="D9" s="109">
        <v>0</v>
      </c>
      <c r="E9" s="113">
        <v>414294</v>
      </c>
      <c r="F9" s="110"/>
      <c r="H9" s="110"/>
    </row>
    <row r="10" spans="1:9">
      <c r="A10" s="114"/>
      <c r="B10" s="112" t="s">
        <v>393</v>
      </c>
      <c r="C10" s="113">
        <v>223192</v>
      </c>
      <c r="D10" s="109">
        <v>0</v>
      </c>
      <c r="E10" s="113">
        <v>223192</v>
      </c>
      <c r="F10" s="110"/>
      <c r="H10" s="110"/>
    </row>
    <row r="11" spans="1:9">
      <c r="A11" s="114"/>
      <c r="B11" s="112" t="s">
        <v>394</v>
      </c>
      <c r="C11" s="113">
        <v>689115</v>
      </c>
      <c r="D11" s="109">
        <v>-33519</v>
      </c>
      <c r="E11" s="113">
        <v>655596</v>
      </c>
      <c r="F11" s="110"/>
      <c r="H11" s="110"/>
    </row>
    <row r="12" spans="1:9" ht="22.5">
      <c r="A12" s="114" t="s">
        <v>8</v>
      </c>
      <c r="B12" s="111" t="s">
        <v>358</v>
      </c>
      <c r="C12" s="109">
        <v>13398757</v>
      </c>
      <c r="D12" s="109">
        <v>151937</v>
      </c>
      <c r="E12" s="109">
        <v>13550694</v>
      </c>
      <c r="F12" s="110"/>
      <c r="H12" s="110"/>
    </row>
    <row r="13" spans="1:9">
      <c r="A13" s="114" t="s">
        <v>9</v>
      </c>
      <c r="B13" s="108" t="s">
        <v>395</v>
      </c>
      <c r="C13" s="109">
        <v>51561586</v>
      </c>
      <c r="D13" s="109">
        <v>-1133870</v>
      </c>
      <c r="E13" s="109">
        <v>50427716</v>
      </c>
      <c r="F13" s="110"/>
      <c r="H13" s="110"/>
    </row>
    <row r="14" spans="1:9">
      <c r="A14" s="114"/>
      <c r="B14" s="112" t="s">
        <v>396</v>
      </c>
      <c r="C14" s="113">
        <v>3205849</v>
      </c>
      <c r="D14" s="109">
        <v>-8937</v>
      </c>
      <c r="E14" s="113">
        <v>3196912</v>
      </c>
      <c r="F14" s="110"/>
      <c r="H14" s="110"/>
    </row>
    <row r="15" spans="1:9" ht="12" customHeight="1">
      <c r="A15" s="114"/>
      <c r="B15" s="112" t="s">
        <v>397</v>
      </c>
      <c r="C15" s="113">
        <v>48355737</v>
      </c>
      <c r="D15" s="109">
        <v>-1124933</v>
      </c>
      <c r="E15" s="113">
        <v>47230804</v>
      </c>
      <c r="F15" s="110"/>
      <c r="H15" s="110"/>
    </row>
    <row r="16" spans="1:9">
      <c r="A16" s="114" t="s">
        <v>11</v>
      </c>
      <c r="B16" s="108" t="s">
        <v>18</v>
      </c>
      <c r="C16" s="109">
        <v>54061</v>
      </c>
      <c r="D16" s="109">
        <v>0</v>
      </c>
      <c r="E16" s="109">
        <v>54061</v>
      </c>
      <c r="F16" s="110"/>
      <c r="H16" s="110"/>
    </row>
    <row r="17" spans="1:8" ht="22.5" hidden="1">
      <c r="A17" s="114" t="s">
        <v>13</v>
      </c>
      <c r="B17" s="108" t="s">
        <v>398</v>
      </c>
      <c r="C17" s="109">
        <v>0</v>
      </c>
      <c r="D17" s="109">
        <v>0</v>
      </c>
      <c r="E17" s="109">
        <v>0</v>
      </c>
      <c r="F17" s="110"/>
      <c r="H17" s="110"/>
    </row>
    <row r="18" spans="1:8">
      <c r="A18" s="114" t="s">
        <v>15</v>
      </c>
      <c r="B18" s="108" t="s">
        <v>20</v>
      </c>
      <c r="C18" s="109">
        <v>454367</v>
      </c>
      <c r="D18" s="109">
        <v>0</v>
      </c>
      <c r="E18" s="109">
        <v>454367</v>
      </c>
      <c r="F18" s="110"/>
      <c r="H18" s="110"/>
    </row>
    <row r="19" spans="1:8" hidden="1">
      <c r="A19" s="114" t="s">
        <v>17</v>
      </c>
      <c r="B19" s="108" t="s">
        <v>364</v>
      </c>
      <c r="C19" s="109">
        <v>0</v>
      </c>
      <c r="D19" s="109">
        <v>0</v>
      </c>
      <c r="E19" s="109">
        <v>0</v>
      </c>
      <c r="F19" s="110"/>
      <c r="H19" s="110"/>
    </row>
    <row r="20" spans="1:8">
      <c r="A20" s="114" t="s">
        <v>41</v>
      </c>
      <c r="B20" s="108" t="s">
        <v>22</v>
      </c>
      <c r="C20" s="109">
        <v>1063483</v>
      </c>
      <c r="D20" s="109">
        <v>0</v>
      </c>
      <c r="E20" s="109">
        <v>1063483</v>
      </c>
      <c r="F20" s="110"/>
      <c r="H20" s="110"/>
    </row>
    <row r="21" spans="1:8">
      <c r="A21" s="114" t="s">
        <v>19</v>
      </c>
      <c r="B21" s="108" t="s">
        <v>24</v>
      </c>
      <c r="C21" s="109">
        <v>506627</v>
      </c>
      <c r="D21" s="109">
        <v>0</v>
      </c>
      <c r="E21" s="109">
        <v>506627</v>
      </c>
      <c r="F21" s="110"/>
      <c r="H21" s="110"/>
    </row>
    <row r="22" spans="1:8">
      <c r="A22" s="114"/>
      <c r="B22" s="115" t="s">
        <v>399</v>
      </c>
      <c r="C22" s="113"/>
      <c r="D22" s="109"/>
      <c r="E22" s="113"/>
      <c r="F22" s="110"/>
      <c r="H22" s="110"/>
    </row>
    <row r="23" spans="1:8">
      <c r="A23" s="114"/>
      <c r="B23" s="115" t="s">
        <v>400</v>
      </c>
      <c r="C23" s="113">
        <v>327084</v>
      </c>
      <c r="D23" s="109">
        <v>0</v>
      </c>
      <c r="E23" s="113">
        <v>327084</v>
      </c>
      <c r="F23" s="110"/>
      <c r="H23" s="110"/>
    </row>
    <row r="24" spans="1:8" ht="12.75" customHeight="1">
      <c r="A24" s="114" t="s">
        <v>44</v>
      </c>
      <c r="B24" s="108" t="s">
        <v>26</v>
      </c>
      <c r="C24" s="109">
        <v>1848127</v>
      </c>
      <c r="D24" s="109">
        <v>-2516</v>
      </c>
      <c r="E24" s="109">
        <v>1845611</v>
      </c>
      <c r="F24" s="110"/>
      <c r="H24" s="110"/>
    </row>
    <row r="25" spans="1:8" s="116" customFormat="1">
      <c r="A25" s="114"/>
      <c r="B25" s="112" t="s">
        <v>27</v>
      </c>
      <c r="C25" s="113">
        <v>575441</v>
      </c>
      <c r="D25" s="109">
        <v>0</v>
      </c>
      <c r="E25" s="113">
        <v>575441</v>
      </c>
      <c r="F25" s="110"/>
      <c r="H25" s="110"/>
    </row>
    <row r="26" spans="1:8">
      <c r="A26" s="114"/>
      <c r="B26" s="112" t="s">
        <v>28</v>
      </c>
      <c r="C26" s="113">
        <v>1272686</v>
      </c>
      <c r="D26" s="109">
        <v>-2516</v>
      </c>
      <c r="E26" s="113">
        <v>1270170</v>
      </c>
      <c r="F26" s="110"/>
      <c r="H26" s="110"/>
    </row>
    <row r="27" spans="1:8" hidden="1">
      <c r="A27" s="114" t="s">
        <v>21</v>
      </c>
      <c r="B27" s="108" t="s">
        <v>401</v>
      </c>
      <c r="C27" s="109">
        <v>0</v>
      </c>
      <c r="D27" s="109">
        <v>0</v>
      </c>
      <c r="E27" s="109">
        <v>0</v>
      </c>
      <c r="F27" s="110"/>
      <c r="H27" s="110"/>
    </row>
    <row r="28" spans="1:8">
      <c r="A28" s="114" t="s">
        <v>23</v>
      </c>
      <c r="B28" s="108" t="s">
        <v>32</v>
      </c>
      <c r="C28" s="109">
        <v>704899</v>
      </c>
      <c r="D28" s="109">
        <v>0</v>
      </c>
      <c r="E28" s="109">
        <v>704899</v>
      </c>
      <c r="F28" s="110"/>
      <c r="H28" s="110"/>
    </row>
    <row r="29" spans="1:8">
      <c r="A29" s="117"/>
      <c r="B29" s="118" t="s">
        <v>369</v>
      </c>
      <c r="C29" s="119">
        <v>71338807</v>
      </c>
      <c r="D29" s="120">
        <v>-1017968</v>
      </c>
      <c r="E29" s="119">
        <v>70320839</v>
      </c>
    </row>
    <row r="30" spans="1:8" ht="15">
      <c r="B30" s="121"/>
    </row>
    <row r="31" spans="1:8" ht="13.5" thickBot="1">
      <c r="A31" s="239" t="s">
        <v>389</v>
      </c>
      <c r="B31" s="239"/>
      <c r="C31" s="239"/>
      <c r="D31" s="239"/>
      <c r="E31" s="239"/>
    </row>
    <row r="32" spans="1:8" ht="24" customHeight="1" thickBot="1">
      <c r="A32" s="238" t="s">
        <v>34</v>
      </c>
      <c r="B32" s="238"/>
      <c r="C32" s="104" t="s">
        <v>304</v>
      </c>
      <c r="D32" s="105" t="s">
        <v>390</v>
      </c>
      <c r="E32" s="104" t="s">
        <v>310</v>
      </c>
    </row>
    <row r="33" spans="1:5" ht="13.5">
      <c r="A33" s="122"/>
      <c r="B33" s="122"/>
      <c r="C33" s="123"/>
      <c r="D33" s="122"/>
      <c r="E33" s="123"/>
    </row>
    <row r="34" spans="1:5">
      <c r="A34" s="124" t="s">
        <v>4</v>
      </c>
      <c r="B34" s="125" t="s">
        <v>370</v>
      </c>
      <c r="C34" s="126">
        <v>63230643</v>
      </c>
      <c r="D34" s="126">
        <v>515</v>
      </c>
      <c r="E34" s="126">
        <v>63231158</v>
      </c>
    </row>
    <row r="35" spans="1:5">
      <c r="A35" s="124"/>
      <c r="B35" s="127" t="s">
        <v>402</v>
      </c>
      <c r="C35" s="126">
        <v>12984226</v>
      </c>
      <c r="D35" s="126">
        <v>0</v>
      </c>
      <c r="E35" s="126">
        <v>12984226</v>
      </c>
    </row>
    <row r="36" spans="1:5">
      <c r="A36" s="124"/>
      <c r="B36" s="127" t="s">
        <v>403</v>
      </c>
      <c r="C36" s="126">
        <v>42694078</v>
      </c>
      <c r="D36" s="126">
        <v>0</v>
      </c>
      <c r="E36" s="126">
        <v>42694078</v>
      </c>
    </row>
    <row r="37" spans="1:5">
      <c r="A37" s="124"/>
      <c r="B37" s="127" t="s">
        <v>404</v>
      </c>
      <c r="C37" s="126">
        <v>7552339</v>
      </c>
      <c r="D37" s="126">
        <v>515</v>
      </c>
      <c r="E37" s="126">
        <v>7552854</v>
      </c>
    </row>
    <row r="38" spans="1:5">
      <c r="A38" s="124" t="s">
        <v>6</v>
      </c>
      <c r="B38" s="125" t="s">
        <v>38</v>
      </c>
      <c r="C38" s="126">
        <v>170046</v>
      </c>
      <c r="D38" s="126">
        <v>0</v>
      </c>
      <c r="E38" s="126">
        <v>170046</v>
      </c>
    </row>
    <row r="39" spans="1:5">
      <c r="A39" s="124" t="s">
        <v>8</v>
      </c>
      <c r="B39" s="125" t="s">
        <v>374</v>
      </c>
      <c r="C39" s="126">
        <v>0</v>
      </c>
      <c r="D39" s="126">
        <v>0</v>
      </c>
      <c r="E39" s="126">
        <v>0</v>
      </c>
    </row>
    <row r="40" spans="1:5">
      <c r="A40" s="124" t="s">
        <v>9</v>
      </c>
      <c r="B40" s="125" t="s">
        <v>18</v>
      </c>
      <c r="C40" s="126">
        <v>23795</v>
      </c>
      <c r="D40" s="126">
        <v>0</v>
      </c>
      <c r="E40" s="126">
        <v>23795</v>
      </c>
    </row>
    <row r="41" spans="1:5">
      <c r="A41" s="124" t="s">
        <v>11</v>
      </c>
      <c r="B41" s="125" t="s">
        <v>375</v>
      </c>
      <c r="C41" s="126">
        <v>0</v>
      </c>
      <c r="D41" s="126">
        <v>0</v>
      </c>
      <c r="E41" s="126">
        <v>0</v>
      </c>
    </row>
    <row r="42" spans="1:5">
      <c r="A42" s="124" t="s">
        <v>13</v>
      </c>
      <c r="B42" s="125" t="s">
        <v>405</v>
      </c>
      <c r="C42" s="126">
        <v>106218</v>
      </c>
      <c r="D42" s="126">
        <v>51038</v>
      </c>
      <c r="E42" s="126">
        <v>157257</v>
      </c>
    </row>
    <row r="43" spans="1:5">
      <c r="A43" s="128"/>
      <c r="B43" s="129" t="s">
        <v>27</v>
      </c>
      <c r="C43" s="126">
        <v>2258</v>
      </c>
      <c r="D43" s="126">
        <v>377</v>
      </c>
      <c r="E43" s="126">
        <v>2636</v>
      </c>
    </row>
    <row r="44" spans="1:5">
      <c r="A44" s="124"/>
      <c r="B44" s="127" t="s">
        <v>40</v>
      </c>
      <c r="C44" s="126">
        <v>103960</v>
      </c>
      <c r="D44" s="126">
        <v>50661</v>
      </c>
      <c r="E44" s="126">
        <v>154620</v>
      </c>
    </row>
    <row r="45" spans="1:5">
      <c r="A45" s="124" t="s">
        <v>17</v>
      </c>
      <c r="B45" s="125" t="s">
        <v>43</v>
      </c>
      <c r="C45" s="126">
        <v>1416660</v>
      </c>
      <c r="D45" s="126">
        <v>0</v>
      </c>
      <c r="E45" s="126">
        <v>1416660</v>
      </c>
    </row>
    <row r="46" spans="1:5">
      <c r="A46" s="124" t="s">
        <v>41</v>
      </c>
      <c r="B46" s="125" t="s">
        <v>45</v>
      </c>
      <c r="C46" s="126">
        <v>187536</v>
      </c>
      <c r="D46" s="126">
        <v>0</v>
      </c>
      <c r="E46" s="126">
        <v>187536</v>
      </c>
    </row>
    <row r="47" spans="1:5">
      <c r="A47" s="124" t="s">
        <v>19</v>
      </c>
      <c r="B47" s="125" t="s">
        <v>46</v>
      </c>
      <c r="C47" s="126">
        <v>487178</v>
      </c>
      <c r="D47" s="126">
        <v>14340</v>
      </c>
      <c r="E47" s="126">
        <v>501518</v>
      </c>
    </row>
    <row r="48" spans="1:5">
      <c r="A48" s="124"/>
      <c r="B48" s="127" t="s">
        <v>406</v>
      </c>
      <c r="C48" s="126">
        <v>46793</v>
      </c>
      <c r="D48" s="126">
        <v>14340</v>
      </c>
      <c r="E48" s="126">
        <v>61133</v>
      </c>
    </row>
    <row r="49" spans="1:5">
      <c r="A49" s="124"/>
      <c r="B49" s="127" t="s">
        <v>407</v>
      </c>
      <c r="C49" s="126">
        <v>137148</v>
      </c>
      <c r="D49" s="126">
        <v>0</v>
      </c>
      <c r="E49" s="126">
        <v>137148</v>
      </c>
    </row>
    <row r="50" spans="1:5">
      <c r="A50" s="124"/>
      <c r="B50" s="127" t="s">
        <v>408</v>
      </c>
      <c r="C50" s="126">
        <v>303237</v>
      </c>
      <c r="D50" s="126">
        <v>0</v>
      </c>
      <c r="E50" s="126">
        <v>303237</v>
      </c>
    </row>
    <row r="51" spans="1:5">
      <c r="A51" s="124" t="s">
        <v>21</v>
      </c>
      <c r="B51" s="125" t="s">
        <v>49</v>
      </c>
      <c r="C51" s="126">
        <v>75089</v>
      </c>
      <c r="D51" s="126">
        <v>129334</v>
      </c>
      <c r="E51" s="126">
        <v>204423</v>
      </c>
    </row>
    <row r="52" spans="1:5">
      <c r="A52" s="124" t="s">
        <v>29</v>
      </c>
      <c r="B52" s="130" t="s">
        <v>51</v>
      </c>
      <c r="C52" s="126">
        <v>2445454</v>
      </c>
      <c r="D52" s="126">
        <v>-1012010</v>
      </c>
      <c r="E52" s="126">
        <v>1433444</v>
      </c>
    </row>
    <row r="53" spans="1:5">
      <c r="A53" s="124" t="s">
        <v>31</v>
      </c>
      <c r="B53" s="130" t="s">
        <v>53</v>
      </c>
      <c r="C53" s="126">
        <v>930073</v>
      </c>
      <c r="D53" s="126">
        <v>0</v>
      </c>
      <c r="E53" s="126">
        <v>930073</v>
      </c>
    </row>
    <row r="54" spans="1:5">
      <c r="A54" s="124" t="s">
        <v>50</v>
      </c>
      <c r="B54" s="130" t="s">
        <v>55</v>
      </c>
      <c r="C54" s="126">
        <v>1443925</v>
      </c>
      <c r="D54" s="126">
        <v>0</v>
      </c>
      <c r="E54" s="126">
        <v>1443925</v>
      </c>
    </row>
    <row r="55" spans="1:5">
      <c r="A55" s="124" t="s">
        <v>52</v>
      </c>
      <c r="B55" s="130" t="s">
        <v>409</v>
      </c>
      <c r="C55" s="126">
        <v>-7258</v>
      </c>
      <c r="D55" s="126">
        <v>0</v>
      </c>
      <c r="E55" s="126">
        <v>-7258</v>
      </c>
    </row>
    <row r="56" spans="1:5">
      <c r="A56" s="124" t="s">
        <v>54</v>
      </c>
      <c r="B56" s="130" t="s">
        <v>385</v>
      </c>
      <c r="C56" s="126">
        <v>653010</v>
      </c>
      <c r="D56" s="126">
        <v>-201185</v>
      </c>
      <c r="E56" s="126">
        <v>451825</v>
      </c>
    </row>
    <row r="57" spans="1:5">
      <c r="A57" s="124" t="s">
        <v>56</v>
      </c>
      <c r="B57" s="130" t="s">
        <v>410</v>
      </c>
      <c r="C57" s="131">
        <v>176438</v>
      </c>
      <c r="D57" s="126">
        <v>0</v>
      </c>
      <c r="E57" s="126">
        <v>176438</v>
      </c>
    </row>
    <row r="58" spans="1:5">
      <c r="A58" s="117"/>
      <c r="B58" s="118" t="s">
        <v>62</v>
      </c>
      <c r="C58" s="119">
        <v>71338807</v>
      </c>
      <c r="D58" s="119">
        <v>-1017968</v>
      </c>
      <c r="E58" s="119">
        <v>70320839</v>
      </c>
    </row>
  </sheetData>
  <mergeCells count="5">
    <mergeCell ref="A1:F1"/>
    <mergeCell ref="A5:E5"/>
    <mergeCell ref="A6:B6"/>
    <mergeCell ref="A31:E31"/>
    <mergeCell ref="A32:B32"/>
  </mergeCells>
  <pageMargins left="0.98425196850393704" right="0.98425196850393704" top="0.70866141732283472" bottom="0.70866141732283472" header="0.51181102362204722" footer="0.51181102362204722"/>
  <pageSetup paperSize="9" scale="61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glio1">
    <tabColor rgb="FFFFC000"/>
  </sheetPr>
  <dimension ref="A1:BC57"/>
  <sheetViews>
    <sheetView showGridLines="0" topLeftCell="P19" zoomScaleNormal="100" workbookViewId="0">
      <selection activeCell="AF22" sqref="AF22"/>
    </sheetView>
  </sheetViews>
  <sheetFormatPr defaultColWidth="8.85546875" defaultRowHeight="12.75"/>
  <cols>
    <col min="1" max="1" width="4.85546875" style="3" customWidth="1"/>
    <col min="2" max="4" width="2.140625" style="3" customWidth="1"/>
    <col min="5" max="5" width="39.85546875" style="3" customWidth="1"/>
    <col min="6" max="9" width="14.42578125" style="3" customWidth="1"/>
    <col min="10" max="10" width="14.140625" style="3" customWidth="1"/>
    <col min="11" max="11" width="14.85546875" style="3" customWidth="1"/>
    <col min="12" max="13" width="10" style="3" bestFit="1" customWidth="1"/>
    <col min="14" max="17" width="16.7109375" style="3" customWidth="1"/>
    <col min="18" max="18" width="14.140625" style="3" customWidth="1"/>
    <col min="19" max="19" width="14.85546875" style="3" customWidth="1"/>
    <col min="20" max="21" width="10" style="3" bestFit="1" customWidth="1"/>
    <col min="22" max="25" width="16.7109375" style="3" customWidth="1"/>
    <col min="26" max="29" width="16.85546875" style="3" customWidth="1"/>
    <col min="30" max="34" width="14.7109375" style="3" customWidth="1"/>
    <col min="35" max="39" width="12.140625" style="3" customWidth="1"/>
    <col min="40" max="40" width="12" style="3" customWidth="1"/>
    <col min="41" max="41" width="12.140625" style="3" customWidth="1"/>
    <col min="42" max="42" width="12" style="3" customWidth="1"/>
    <col min="43" max="43" width="12.140625" style="3" customWidth="1"/>
    <col min="44" max="45" width="12" style="3" customWidth="1"/>
    <col min="46" max="54" width="9.85546875" style="3" bestFit="1" customWidth="1"/>
    <col min="55" max="16384" width="8.85546875" style="3"/>
  </cols>
  <sheetData>
    <row r="1" spans="1:55" ht="26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I1" s="12"/>
      <c r="AJ1" s="11"/>
      <c r="AM1"/>
    </row>
    <row r="2" spans="1:55" ht="26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I2" s="12"/>
      <c r="AJ2" s="11"/>
      <c r="AM2"/>
    </row>
    <row r="3" spans="1:55" s="27" customFormat="1" ht="13.5" thickBot="1">
      <c r="A3" s="81" t="s">
        <v>277</v>
      </c>
      <c r="B3" s="81"/>
      <c r="C3" s="82"/>
      <c r="AT3" s="21"/>
      <c r="AU3" s="21"/>
      <c r="AV3" s="21"/>
      <c r="AW3" s="21"/>
      <c r="AX3" s="21"/>
      <c r="AY3" s="21"/>
      <c r="AZ3" s="21"/>
      <c r="BA3" s="21"/>
      <c r="BB3" s="21"/>
    </row>
    <row r="4" spans="1:55" s="21" customFormat="1" ht="21" customHeight="1" thickBot="1">
      <c r="A4" s="241" t="s">
        <v>1</v>
      </c>
      <c r="B4" s="241"/>
      <c r="C4" s="241"/>
      <c r="D4" s="241"/>
      <c r="E4" s="241"/>
      <c r="F4" s="25" t="s">
        <v>304</v>
      </c>
      <c r="G4" s="25" t="s">
        <v>289</v>
      </c>
      <c r="H4" s="25" t="s">
        <v>298</v>
      </c>
      <c r="I4" s="25" t="s">
        <v>278</v>
      </c>
      <c r="J4" s="25" t="s">
        <v>245</v>
      </c>
      <c r="K4" s="25" t="s">
        <v>240</v>
      </c>
      <c r="L4" s="25" t="s">
        <v>233</v>
      </c>
      <c r="M4" s="25" t="s">
        <v>232</v>
      </c>
      <c r="N4" s="25" t="s">
        <v>230</v>
      </c>
      <c r="O4" s="25" t="s">
        <v>228</v>
      </c>
      <c r="P4" s="25" t="s">
        <v>185</v>
      </c>
      <c r="Q4" s="25" t="s">
        <v>186</v>
      </c>
      <c r="R4" s="25" t="s">
        <v>183</v>
      </c>
      <c r="S4" s="25" t="s">
        <v>178</v>
      </c>
      <c r="T4" s="25" t="s">
        <v>179</v>
      </c>
      <c r="U4" s="25" t="s">
        <v>180</v>
      </c>
      <c r="V4" s="25" t="s">
        <v>171</v>
      </c>
      <c r="W4" s="25" t="s">
        <v>172</v>
      </c>
      <c r="X4" s="25" t="s">
        <v>173</v>
      </c>
      <c r="Y4" s="25" t="s">
        <v>174</v>
      </c>
      <c r="Z4" s="25" t="s">
        <v>163</v>
      </c>
      <c r="AA4" s="25" t="s">
        <v>168</v>
      </c>
      <c r="AB4" s="25" t="s">
        <v>167</v>
      </c>
      <c r="AC4" s="25" t="s">
        <v>166</v>
      </c>
      <c r="AD4" s="25" t="s">
        <v>161</v>
      </c>
      <c r="AE4" s="25" t="s">
        <v>158</v>
      </c>
      <c r="AF4" s="25" t="s">
        <v>141</v>
      </c>
      <c r="AG4" s="25" t="s">
        <v>2</v>
      </c>
      <c r="AH4" s="25" t="s">
        <v>3</v>
      </c>
      <c r="AI4" s="25" t="s">
        <v>115</v>
      </c>
      <c r="AJ4" s="25" t="s">
        <v>116</v>
      </c>
      <c r="AK4" s="25" t="s">
        <v>65</v>
      </c>
      <c r="AL4" s="25" t="s">
        <v>142</v>
      </c>
      <c r="AM4" s="25" t="s">
        <v>143</v>
      </c>
      <c r="AN4" s="25" t="s">
        <v>144</v>
      </c>
      <c r="AO4" s="25" t="s">
        <v>145</v>
      </c>
      <c r="AP4" s="25" t="s">
        <v>150</v>
      </c>
      <c r="AQ4" s="25" t="s">
        <v>151</v>
      </c>
      <c r="AR4" s="25" t="s">
        <v>153</v>
      </c>
      <c r="AS4" s="25" t="s">
        <v>152</v>
      </c>
      <c r="AT4" s="25" t="s">
        <v>279</v>
      </c>
      <c r="AU4" s="25" t="s">
        <v>280</v>
      </c>
      <c r="AV4" s="25" t="s">
        <v>281</v>
      </c>
      <c r="AW4" s="25" t="s">
        <v>282</v>
      </c>
      <c r="AX4" s="25" t="s">
        <v>283</v>
      </c>
      <c r="AY4" s="25" t="s">
        <v>284</v>
      </c>
      <c r="AZ4" s="25" t="s">
        <v>285</v>
      </c>
      <c r="BA4" s="25" t="s">
        <v>286</v>
      </c>
      <c r="BB4" s="25" t="s">
        <v>287</v>
      </c>
    </row>
    <row r="5" spans="1:55" s="21" customFormat="1" ht="3" customHeight="1">
      <c r="A5" s="28"/>
      <c r="B5" s="28"/>
      <c r="C5" s="28"/>
      <c r="D5" s="28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</row>
    <row r="6" spans="1:55" s="21" customFormat="1" ht="11.25">
      <c r="A6" s="4" t="s">
        <v>4</v>
      </c>
      <c r="B6" s="5" t="s">
        <v>5</v>
      </c>
      <c r="C6" s="5"/>
      <c r="D6" s="5"/>
      <c r="F6" s="16">
        <v>420299</v>
      </c>
      <c r="G6" s="16">
        <v>356774</v>
      </c>
      <c r="H6" s="16">
        <v>365772</v>
      </c>
      <c r="I6" s="16">
        <v>316008</v>
      </c>
      <c r="J6" s="16">
        <v>364879</v>
      </c>
      <c r="K6" s="16">
        <v>348364</v>
      </c>
      <c r="L6" s="16">
        <v>339844</v>
      </c>
      <c r="M6" s="16">
        <v>354274</v>
      </c>
      <c r="N6" s="16">
        <v>390371</v>
      </c>
      <c r="O6" s="16">
        <v>361508</v>
      </c>
      <c r="P6" s="16">
        <v>364869</v>
      </c>
      <c r="Q6" s="16">
        <v>336751</v>
      </c>
      <c r="R6" s="16">
        <v>450766</v>
      </c>
      <c r="S6" s="16">
        <v>388032</v>
      </c>
      <c r="T6" s="16">
        <v>396682</v>
      </c>
      <c r="U6" s="16">
        <v>352564</v>
      </c>
      <c r="V6" s="16">
        <v>488522</v>
      </c>
      <c r="W6" s="16">
        <v>421763</v>
      </c>
      <c r="X6" s="16">
        <v>383088</v>
      </c>
      <c r="Y6" s="16">
        <v>359568</v>
      </c>
      <c r="Z6" s="16">
        <v>488873</v>
      </c>
      <c r="AA6" s="16">
        <v>382072</v>
      </c>
      <c r="AB6" s="16">
        <v>409534</v>
      </c>
      <c r="AC6" s="16">
        <v>377298</v>
      </c>
      <c r="AD6" s="16">
        <v>463315</v>
      </c>
      <c r="AE6" s="16">
        <v>415183</v>
      </c>
      <c r="AF6" s="16">
        <v>449309</v>
      </c>
      <c r="AG6" s="16">
        <v>394360</v>
      </c>
      <c r="AH6" s="16">
        <v>422920</v>
      </c>
      <c r="AI6" s="16">
        <v>398525</v>
      </c>
      <c r="AJ6" s="16">
        <v>425094</v>
      </c>
      <c r="AK6" s="16">
        <v>381013</v>
      </c>
      <c r="AL6" s="16">
        <v>424768</v>
      </c>
      <c r="AM6" s="16">
        <v>408513</v>
      </c>
      <c r="AN6" s="16">
        <v>430765</v>
      </c>
      <c r="AO6" s="16">
        <v>387562</v>
      </c>
      <c r="AP6" s="16">
        <v>489976</v>
      </c>
      <c r="AQ6" s="16">
        <v>401345</v>
      </c>
      <c r="AR6" s="16">
        <v>439597</v>
      </c>
      <c r="AS6" s="16">
        <v>372296</v>
      </c>
      <c r="AT6" s="16">
        <v>484325</v>
      </c>
      <c r="AU6" s="16">
        <v>303671</v>
      </c>
      <c r="AV6" s="16">
        <v>304289</v>
      </c>
      <c r="AW6" s="16">
        <v>268848</v>
      </c>
      <c r="AX6" s="16">
        <v>370833</v>
      </c>
      <c r="AY6" s="16">
        <v>268213</v>
      </c>
      <c r="AZ6" s="16">
        <v>267529</v>
      </c>
      <c r="BA6" s="16">
        <v>252864</v>
      </c>
      <c r="BB6" s="16">
        <v>340437</v>
      </c>
    </row>
    <row r="7" spans="1:55" s="21" customFormat="1" ht="11.25">
      <c r="A7" s="4" t="s">
        <v>6</v>
      </c>
      <c r="B7" s="18" t="s">
        <v>7</v>
      </c>
      <c r="C7" s="5"/>
      <c r="D7" s="5"/>
      <c r="F7" s="16">
        <v>663134</v>
      </c>
      <c r="G7" s="16">
        <v>712093</v>
      </c>
      <c r="H7" s="16">
        <v>647051</v>
      </c>
      <c r="I7" s="16">
        <v>750057</v>
      </c>
      <c r="J7" s="16">
        <v>676844</v>
      </c>
      <c r="K7" s="16">
        <v>723611</v>
      </c>
      <c r="L7" s="16">
        <v>769336</v>
      </c>
      <c r="M7" s="16">
        <v>756794</v>
      </c>
      <c r="N7" s="16">
        <v>790403</v>
      </c>
      <c r="O7" s="16">
        <v>845007</v>
      </c>
      <c r="P7" s="16">
        <v>915238</v>
      </c>
      <c r="Q7" s="16">
        <v>1079617</v>
      </c>
      <c r="R7" s="16">
        <v>1033286</v>
      </c>
      <c r="S7" s="16">
        <v>981046</v>
      </c>
      <c r="T7" s="16">
        <v>1047737</v>
      </c>
      <c r="U7" s="16">
        <v>1053291</v>
      </c>
      <c r="V7" s="16">
        <v>1117939</v>
      </c>
      <c r="W7" s="16">
        <v>1159484</v>
      </c>
      <c r="X7" s="16">
        <v>1260270</v>
      </c>
      <c r="Y7" s="16">
        <v>1371961</v>
      </c>
      <c r="Z7" s="16">
        <v>1596048</v>
      </c>
      <c r="AA7" s="16">
        <v>1824193</v>
      </c>
      <c r="AB7" s="16">
        <v>1962269</v>
      </c>
      <c r="AC7" s="16">
        <v>2050745</v>
      </c>
      <c r="AD7" s="16">
        <v>2123489</v>
      </c>
      <c r="AE7" s="16">
        <v>2075525</v>
      </c>
      <c r="AF7" s="16">
        <v>2085905</v>
      </c>
      <c r="AG7" s="16">
        <v>2221213</v>
      </c>
      <c r="AH7" s="16">
        <v>2314497</v>
      </c>
      <c r="AI7" s="16">
        <v>2476033</v>
      </c>
      <c r="AJ7" s="16">
        <v>2630004</v>
      </c>
      <c r="AK7" s="16">
        <v>2528589</v>
      </c>
      <c r="AL7" s="16">
        <v>2151137</v>
      </c>
      <c r="AM7" s="16">
        <v>2357757</v>
      </c>
      <c r="AN7" s="16">
        <v>2645295</v>
      </c>
      <c r="AO7" s="16">
        <v>2905358</v>
      </c>
      <c r="AP7" s="16">
        <v>3108253</v>
      </c>
      <c r="AQ7" s="16">
        <v>3499878</v>
      </c>
      <c r="AR7" s="16">
        <v>4558020</v>
      </c>
      <c r="AS7" s="16">
        <v>4224952</v>
      </c>
      <c r="AT7" s="16">
        <v>4395561</v>
      </c>
      <c r="AU7" s="16">
        <v>4456175</v>
      </c>
      <c r="AV7" s="16">
        <v>5056909</v>
      </c>
      <c r="AW7" s="16">
        <v>4710878</v>
      </c>
      <c r="AX7" s="16">
        <v>4373934</v>
      </c>
      <c r="AY7" s="16">
        <v>3762532</v>
      </c>
      <c r="AZ7" s="16">
        <v>3850634</v>
      </c>
      <c r="BA7" s="16">
        <v>4149886</v>
      </c>
      <c r="BB7" s="16">
        <v>4284840</v>
      </c>
    </row>
    <row r="8" spans="1:55" s="21" customFormat="1" ht="11.25">
      <c r="A8" s="4" t="s">
        <v>8</v>
      </c>
      <c r="B8" s="243" t="s">
        <v>112</v>
      </c>
      <c r="C8" s="243"/>
      <c r="D8" s="243"/>
      <c r="E8" s="243"/>
      <c r="F8" s="83">
        <v>83299</v>
      </c>
      <c r="G8" s="83">
        <v>80762</v>
      </c>
      <c r="H8" s="83">
        <v>81785</v>
      </c>
      <c r="I8" s="83">
        <v>84580</v>
      </c>
      <c r="J8" s="83">
        <v>84307</v>
      </c>
      <c r="K8" s="83">
        <v>82779</v>
      </c>
      <c r="L8" s="83">
        <v>83490</v>
      </c>
      <c r="M8" s="83">
        <v>82094</v>
      </c>
      <c r="N8" s="83">
        <v>86639</v>
      </c>
      <c r="O8" s="83">
        <v>101303</v>
      </c>
      <c r="P8" s="83">
        <v>106446</v>
      </c>
      <c r="Q8" s="83">
        <v>109422</v>
      </c>
      <c r="R8" s="83">
        <v>110249</v>
      </c>
      <c r="S8" s="83">
        <v>108122</v>
      </c>
      <c r="T8" s="83">
        <v>126416</v>
      </c>
      <c r="U8" s="83">
        <v>138983</v>
      </c>
      <c r="V8" s="83">
        <v>149899</v>
      </c>
      <c r="W8" s="83">
        <v>151919</v>
      </c>
      <c r="X8" s="83">
        <v>148427</v>
      </c>
      <c r="Y8" s="83">
        <v>147244</v>
      </c>
      <c r="Z8" s="83">
        <v>151450</v>
      </c>
      <c r="AA8" s="83">
        <v>161432</v>
      </c>
      <c r="AB8" s="83">
        <v>189339</v>
      </c>
      <c r="AC8" s="83">
        <v>206181</v>
      </c>
      <c r="AD8" s="83">
        <v>216089</v>
      </c>
      <c r="AE8" s="83">
        <v>235043</v>
      </c>
      <c r="AF8" s="83">
        <v>253922</v>
      </c>
      <c r="AG8" s="83">
        <v>271438</v>
      </c>
      <c r="AH8" s="83">
        <v>301382</v>
      </c>
      <c r="AI8" s="83">
        <v>349963</v>
      </c>
      <c r="AJ8" s="83">
        <v>370985</v>
      </c>
      <c r="AK8" s="83">
        <v>402594</v>
      </c>
      <c r="AL8" s="83">
        <v>401682</v>
      </c>
      <c r="AM8" s="83">
        <v>426776</v>
      </c>
      <c r="AN8" s="83">
        <v>513403</v>
      </c>
      <c r="AO8" s="83">
        <v>605770</v>
      </c>
      <c r="AP8" s="83">
        <v>669130</v>
      </c>
      <c r="AQ8" s="83">
        <v>802729</v>
      </c>
      <c r="AR8" s="83">
        <v>863344</v>
      </c>
      <c r="AS8" s="83">
        <v>889359</v>
      </c>
      <c r="AT8" s="83">
        <v>974666</v>
      </c>
      <c r="AU8" s="83">
        <v>1039932</v>
      </c>
      <c r="AV8" s="83">
        <v>1182012</v>
      </c>
      <c r="AW8" s="83">
        <v>1260735</v>
      </c>
      <c r="AX8" s="83">
        <v>1316622</v>
      </c>
      <c r="AY8" s="83">
        <v>1496670</v>
      </c>
      <c r="AZ8" s="83">
        <v>1673072</v>
      </c>
      <c r="BA8" s="83">
        <v>1816842</v>
      </c>
      <c r="BB8" s="83">
        <v>1825708</v>
      </c>
    </row>
    <row r="9" spans="1:55" s="21" customFormat="1" ht="11.25">
      <c r="A9" s="4" t="s">
        <v>9</v>
      </c>
      <c r="B9" s="18" t="s">
        <v>10</v>
      </c>
      <c r="C9" s="5"/>
      <c r="D9" s="5"/>
      <c r="F9" s="16">
        <v>12076053</v>
      </c>
      <c r="G9" s="16">
        <v>12003211</v>
      </c>
      <c r="H9" s="16">
        <v>11608567</v>
      </c>
      <c r="I9" s="16">
        <v>11211255</v>
      </c>
      <c r="J9" s="16">
        <v>10433222</v>
      </c>
      <c r="K9" s="16">
        <v>10009044</v>
      </c>
      <c r="L9" s="16">
        <v>9511427</v>
      </c>
      <c r="M9" s="16">
        <v>8657467</v>
      </c>
      <c r="N9" s="16">
        <v>8022164</v>
      </c>
      <c r="O9" s="16">
        <v>8346530</v>
      </c>
      <c r="P9" s="16">
        <v>8296471</v>
      </c>
      <c r="Q9" s="16">
        <v>7589460</v>
      </c>
      <c r="R9" s="16">
        <v>6944927</v>
      </c>
      <c r="S9" s="16">
        <v>6844522</v>
      </c>
      <c r="T9" s="16">
        <v>6920238</v>
      </c>
      <c r="U9" s="16">
        <v>6400095</v>
      </c>
      <c r="V9" s="16">
        <v>6630062</v>
      </c>
      <c r="W9" s="16">
        <v>5915811</v>
      </c>
      <c r="X9" s="16">
        <v>5831204</v>
      </c>
      <c r="Y9" s="16">
        <v>5294000</v>
      </c>
      <c r="Z9" s="16">
        <v>4679402</v>
      </c>
      <c r="AA9" s="16">
        <v>4659893</v>
      </c>
      <c r="AB9" s="16">
        <v>4028249</v>
      </c>
      <c r="AC9" s="16">
        <v>3271131</v>
      </c>
      <c r="AD9" s="16">
        <v>2605192</v>
      </c>
      <c r="AE9" s="16">
        <v>2552147</v>
      </c>
      <c r="AF9" s="16">
        <v>1926493</v>
      </c>
      <c r="AG9" s="16">
        <v>1747433</v>
      </c>
      <c r="AH9" s="16">
        <v>1709432</v>
      </c>
      <c r="AI9" s="16">
        <v>1509605</v>
      </c>
      <c r="AJ9" s="16">
        <v>1352865</v>
      </c>
      <c r="AK9" s="16">
        <v>939031</v>
      </c>
      <c r="AL9" s="16">
        <v>826325</v>
      </c>
      <c r="AM9" s="16">
        <v>770300</v>
      </c>
      <c r="AN9" s="16">
        <v>726963</v>
      </c>
      <c r="AO9" s="16">
        <v>705211</v>
      </c>
      <c r="AP9" s="16">
        <v>649802</v>
      </c>
      <c r="AQ9" s="16">
        <v>715395</v>
      </c>
      <c r="AR9" s="16">
        <v>1127988</v>
      </c>
      <c r="AS9" s="16">
        <v>1120914</v>
      </c>
      <c r="AT9" s="16">
        <v>1213156</v>
      </c>
      <c r="AU9" s="16">
        <v>1196952</v>
      </c>
      <c r="AV9" s="16">
        <v>1248724</v>
      </c>
      <c r="AW9" s="16">
        <v>1367423</v>
      </c>
      <c r="AX9" s="16">
        <v>1432489</v>
      </c>
      <c r="AY9" s="16">
        <v>1361090</v>
      </c>
      <c r="AZ9" s="16">
        <v>1395547</v>
      </c>
      <c r="BA9" s="16">
        <v>1790135</v>
      </c>
      <c r="BB9" s="16">
        <v>1657215</v>
      </c>
    </row>
    <row r="10" spans="1:55" s="21" customFormat="1" ht="11.25">
      <c r="A10" s="4" t="s">
        <v>11</v>
      </c>
      <c r="B10" s="5" t="s">
        <v>12</v>
      </c>
      <c r="C10" s="5"/>
      <c r="D10" s="5"/>
      <c r="F10" s="16">
        <v>2637135</v>
      </c>
      <c r="G10" s="16">
        <v>2657986</v>
      </c>
      <c r="H10" s="16">
        <v>2614287</v>
      </c>
      <c r="I10" s="16">
        <v>2617027</v>
      </c>
      <c r="J10" s="16">
        <v>2515993</v>
      </c>
      <c r="K10" s="16">
        <v>2554580</v>
      </c>
      <c r="L10" s="16">
        <v>2649908</v>
      </c>
      <c r="M10" s="16">
        <v>2662059</v>
      </c>
      <c r="N10" s="16">
        <v>2663859</v>
      </c>
      <c r="O10" s="16">
        <v>2545547</v>
      </c>
      <c r="P10" s="16">
        <v>2459678</v>
      </c>
      <c r="Q10" s="16">
        <v>2521902</v>
      </c>
      <c r="R10" s="16">
        <v>2213497</v>
      </c>
      <c r="S10" s="16">
        <v>1576633</v>
      </c>
      <c r="T10" s="16">
        <v>1344268</v>
      </c>
      <c r="U10" s="16">
        <v>1282026</v>
      </c>
      <c r="V10" s="16">
        <v>1207868</v>
      </c>
      <c r="W10" s="16">
        <v>1203539</v>
      </c>
      <c r="X10" s="16">
        <v>1222451</v>
      </c>
      <c r="Y10" s="16">
        <v>1211586</v>
      </c>
      <c r="Z10" s="16">
        <v>818050</v>
      </c>
      <c r="AA10" s="16">
        <v>704848</v>
      </c>
      <c r="AB10" s="16">
        <v>679550</v>
      </c>
      <c r="AC10" s="16">
        <v>686013</v>
      </c>
      <c r="AD10" s="16">
        <v>693502</v>
      </c>
      <c r="AE10" s="16">
        <v>691762</v>
      </c>
      <c r="AF10" s="16">
        <v>696608</v>
      </c>
      <c r="AG10" s="16">
        <v>703281</v>
      </c>
      <c r="AH10" s="16">
        <v>705154</v>
      </c>
      <c r="AI10" s="16">
        <v>702736</v>
      </c>
      <c r="AJ10" s="16">
        <v>707885</v>
      </c>
      <c r="AK10" s="16">
        <v>714289</v>
      </c>
      <c r="AL10" s="16">
        <v>558738</v>
      </c>
      <c r="AM10" s="16">
        <v>404977</v>
      </c>
      <c r="AN10" s="16">
        <v>258409</v>
      </c>
      <c r="AO10" s="16">
        <v>200889</v>
      </c>
      <c r="AP10" s="16">
        <v>0</v>
      </c>
      <c r="AQ10" s="16">
        <v>0</v>
      </c>
      <c r="AR10" s="16">
        <v>0</v>
      </c>
      <c r="AS10" s="16">
        <v>0</v>
      </c>
      <c r="AT10" s="16">
        <v>0</v>
      </c>
      <c r="AU10" s="16">
        <v>0</v>
      </c>
      <c r="AV10" s="16">
        <v>0</v>
      </c>
      <c r="AW10" s="16">
        <v>0</v>
      </c>
      <c r="AX10" s="16">
        <v>0</v>
      </c>
      <c r="AY10" s="16">
        <v>0</v>
      </c>
      <c r="AZ10" s="16">
        <v>0</v>
      </c>
      <c r="BA10" s="16">
        <v>0</v>
      </c>
      <c r="BB10" s="16">
        <v>0</v>
      </c>
    </row>
    <row r="11" spans="1:55" s="21" customFormat="1" ht="11.25">
      <c r="A11" s="4" t="s">
        <v>13</v>
      </c>
      <c r="B11" s="5" t="s">
        <v>14</v>
      </c>
      <c r="C11" s="5"/>
      <c r="D11" s="5"/>
      <c r="F11" s="16">
        <v>3012515</v>
      </c>
      <c r="G11" s="16">
        <v>3038392</v>
      </c>
      <c r="H11" s="16">
        <v>3497504</v>
      </c>
      <c r="I11" s="16">
        <v>3260232</v>
      </c>
      <c r="J11" s="16">
        <v>1331811</v>
      </c>
      <c r="K11" s="16">
        <v>1123966</v>
      </c>
      <c r="L11" s="16">
        <v>1045431</v>
      </c>
      <c r="M11" s="16">
        <v>966175</v>
      </c>
      <c r="N11" s="16">
        <v>1087313</v>
      </c>
      <c r="O11" s="16">
        <v>1288965</v>
      </c>
      <c r="P11" s="16">
        <v>1476213</v>
      </c>
      <c r="Q11" s="16">
        <v>1345670</v>
      </c>
      <c r="R11" s="16">
        <v>1709298</v>
      </c>
      <c r="S11" s="16">
        <v>2028140</v>
      </c>
      <c r="T11" s="16">
        <v>1611930</v>
      </c>
      <c r="U11" s="16">
        <v>1861654</v>
      </c>
      <c r="V11" s="16">
        <v>1587781</v>
      </c>
      <c r="W11" s="16">
        <v>1702179</v>
      </c>
      <c r="X11" s="16">
        <v>2352568</v>
      </c>
      <c r="Y11" s="16">
        <v>1896971</v>
      </c>
      <c r="Z11" s="16">
        <v>2250781</v>
      </c>
      <c r="AA11" s="16">
        <v>2293024</v>
      </c>
      <c r="AB11" s="16">
        <v>1966586</v>
      </c>
      <c r="AC11" s="16">
        <v>2384661</v>
      </c>
      <c r="AD11" s="16">
        <v>2832122</v>
      </c>
      <c r="AE11" s="16">
        <v>2944967</v>
      </c>
      <c r="AF11" s="16">
        <v>2706546</v>
      </c>
      <c r="AG11" s="16">
        <v>2746796</v>
      </c>
      <c r="AH11" s="16">
        <v>1888687</v>
      </c>
      <c r="AI11" s="16">
        <v>1980450</v>
      </c>
      <c r="AJ11" s="16">
        <v>2131353</v>
      </c>
      <c r="AK11" s="16">
        <v>2122523</v>
      </c>
      <c r="AL11" s="16">
        <v>2431588</v>
      </c>
      <c r="AM11" s="16">
        <v>4145941</v>
      </c>
      <c r="AN11" s="16">
        <v>3598308</v>
      </c>
      <c r="AO11" s="16">
        <v>4055027</v>
      </c>
      <c r="AP11" s="16">
        <v>3793630</v>
      </c>
      <c r="AQ11" s="16">
        <v>4034280</v>
      </c>
      <c r="AR11" s="16">
        <v>2543721</v>
      </c>
      <c r="AS11" s="16">
        <v>3086724</v>
      </c>
      <c r="AT11" s="16">
        <v>3276588</v>
      </c>
      <c r="AU11" s="16">
        <v>2867339</v>
      </c>
      <c r="AV11" s="16">
        <v>2970552</v>
      </c>
      <c r="AW11" s="16">
        <v>2503869</v>
      </c>
      <c r="AX11" s="16">
        <v>3900048</v>
      </c>
      <c r="AY11" s="16">
        <v>3984822</v>
      </c>
      <c r="AZ11" s="16">
        <v>4058236</v>
      </c>
      <c r="BA11" s="16">
        <v>3139829</v>
      </c>
      <c r="BB11" s="16">
        <v>2038230</v>
      </c>
    </row>
    <row r="12" spans="1:55" s="21" customFormat="1" ht="11.25">
      <c r="A12" s="4" t="s">
        <v>15</v>
      </c>
      <c r="B12" s="5" t="s">
        <v>16</v>
      </c>
      <c r="C12" s="5"/>
      <c r="D12" s="5"/>
      <c r="F12" s="16">
        <v>47814808</v>
      </c>
      <c r="G12" s="16">
        <v>46907214</v>
      </c>
      <c r="H12" s="16">
        <v>46996709</v>
      </c>
      <c r="I12" s="16">
        <v>45693770</v>
      </c>
      <c r="J12" s="16">
        <v>45494179</v>
      </c>
      <c r="K12" s="16">
        <v>43630200</v>
      </c>
      <c r="L12" s="16">
        <v>43989709</v>
      </c>
      <c r="M12" s="16">
        <v>44048428</v>
      </c>
      <c r="N12" s="16">
        <v>43702561</v>
      </c>
      <c r="O12" s="16">
        <v>43449783</v>
      </c>
      <c r="P12" s="16">
        <v>43426478</v>
      </c>
      <c r="Q12" s="16">
        <v>43865112</v>
      </c>
      <c r="R12" s="16">
        <v>43919681</v>
      </c>
      <c r="S12" s="16">
        <v>44580918</v>
      </c>
      <c r="T12" s="16">
        <v>45416633</v>
      </c>
      <c r="U12" s="16">
        <v>45849318</v>
      </c>
      <c r="V12" s="16">
        <v>46514738</v>
      </c>
      <c r="W12" s="16">
        <v>47207476</v>
      </c>
      <c r="X12" s="16">
        <v>47610427</v>
      </c>
      <c r="Y12" s="16">
        <v>48684469</v>
      </c>
      <c r="Z12" s="16">
        <v>48048735</v>
      </c>
      <c r="AA12" s="16">
        <v>48369312</v>
      </c>
      <c r="AB12" s="16">
        <v>48539948</v>
      </c>
      <c r="AC12" s="16">
        <v>47923357</v>
      </c>
      <c r="AD12" s="16">
        <v>48186287</v>
      </c>
      <c r="AE12" s="16">
        <v>48350993</v>
      </c>
      <c r="AF12" s="16">
        <v>48121158</v>
      </c>
      <c r="AG12" s="16">
        <v>47830169</v>
      </c>
      <c r="AH12" s="16">
        <v>47780029</v>
      </c>
      <c r="AI12" s="16">
        <v>47211196</v>
      </c>
      <c r="AJ12" s="16">
        <v>45800608</v>
      </c>
      <c r="AK12" s="16">
        <v>45160805</v>
      </c>
      <c r="AL12" s="16">
        <v>45441602</v>
      </c>
      <c r="AM12" s="16">
        <v>43148337</v>
      </c>
      <c r="AN12" s="16">
        <v>43211758</v>
      </c>
      <c r="AO12" s="16">
        <v>42539968</v>
      </c>
      <c r="AP12" s="16">
        <v>40213435</v>
      </c>
      <c r="AQ12" s="16">
        <v>38820706</v>
      </c>
      <c r="AR12" s="16">
        <v>38305334</v>
      </c>
      <c r="AS12" s="16">
        <v>36225213</v>
      </c>
      <c r="AT12" s="16">
        <v>35390831</v>
      </c>
      <c r="AU12" s="16">
        <v>33940281</v>
      </c>
      <c r="AV12" s="16">
        <v>33535746</v>
      </c>
      <c r="AW12" s="16">
        <v>32256593</v>
      </c>
      <c r="AX12" s="16">
        <v>31274014</v>
      </c>
      <c r="AY12" s="16">
        <v>30230480</v>
      </c>
      <c r="AZ12" s="16">
        <v>29809388</v>
      </c>
      <c r="BA12" s="16">
        <v>29254485</v>
      </c>
      <c r="BB12" s="16">
        <v>30626393</v>
      </c>
    </row>
    <row r="13" spans="1:55" s="21" customFormat="1" ht="11.25">
      <c r="A13" s="4" t="s">
        <v>17</v>
      </c>
      <c r="B13" s="19" t="s">
        <v>18</v>
      </c>
      <c r="C13" s="20"/>
      <c r="D13" s="5"/>
      <c r="F13" s="16">
        <v>54061</v>
      </c>
      <c r="G13" s="16">
        <v>73817</v>
      </c>
      <c r="H13" s="16">
        <v>72532</v>
      </c>
      <c r="I13" s="16">
        <v>55941</v>
      </c>
      <c r="J13" s="16">
        <v>62365</v>
      </c>
      <c r="K13" s="16">
        <v>73120</v>
      </c>
      <c r="L13" s="16">
        <v>72904</v>
      </c>
      <c r="M13" s="16">
        <v>57330</v>
      </c>
      <c r="N13" s="16">
        <v>38182</v>
      </c>
      <c r="O13" s="16">
        <v>46520</v>
      </c>
      <c r="P13" s="16">
        <v>41836</v>
      </c>
      <c r="Q13" s="16">
        <v>46252</v>
      </c>
      <c r="R13" s="16">
        <v>36744</v>
      </c>
      <c r="S13" s="16">
        <v>38910</v>
      </c>
      <c r="T13" s="16">
        <v>29530</v>
      </c>
      <c r="U13" s="16">
        <v>11782</v>
      </c>
      <c r="V13" s="16">
        <v>3751</v>
      </c>
      <c r="W13" s="16">
        <v>2381</v>
      </c>
      <c r="X13" s="16">
        <v>2246</v>
      </c>
      <c r="Y13" s="16">
        <v>2416</v>
      </c>
      <c r="Z13" s="16">
        <v>0</v>
      </c>
      <c r="AA13" s="16">
        <v>4</v>
      </c>
      <c r="AB13" s="16">
        <v>108</v>
      </c>
      <c r="AC13" s="16">
        <v>513</v>
      </c>
      <c r="AD13" s="16">
        <v>0</v>
      </c>
      <c r="AE13" s="16">
        <v>0</v>
      </c>
      <c r="AF13" s="16">
        <v>124</v>
      </c>
      <c r="AG13" s="16">
        <v>906</v>
      </c>
      <c r="AH13" s="16">
        <v>556</v>
      </c>
      <c r="AI13" s="16">
        <v>21759</v>
      </c>
      <c r="AJ13" s="16">
        <v>141395</v>
      </c>
      <c r="AK13" s="16">
        <v>96475</v>
      </c>
      <c r="AL13" s="16">
        <v>18705</v>
      </c>
      <c r="AM13" s="16">
        <v>68737</v>
      </c>
      <c r="AN13" s="16">
        <v>55033</v>
      </c>
      <c r="AO13" s="16">
        <v>229595</v>
      </c>
      <c r="AP13" s="16">
        <v>782481</v>
      </c>
      <c r="AQ13" s="16">
        <v>328427</v>
      </c>
      <c r="AR13" s="16">
        <v>2154</v>
      </c>
      <c r="AS13" s="16">
        <v>45516</v>
      </c>
      <c r="AT13" s="16">
        <v>0</v>
      </c>
      <c r="AU13" s="16">
        <v>0</v>
      </c>
      <c r="AV13" s="16">
        <v>0</v>
      </c>
      <c r="AW13" s="16">
        <v>0</v>
      </c>
      <c r="AX13" s="16">
        <v>0</v>
      </c>
      <c r="AY13" s="16">
        <v>0</v>
      </c>
      <c r="AZ13" s="16">
        <v>0</v>
      </c>
      <c r="BA13" s="16">
        <v>0</v>
      </c>
      <c r="BB13" s="16">
        <v>0</v>
      </c>
      <c r="BC13" s="49"/>
    </row>
    <row r="14" spans="1:55" s="21" customFormat="1" ht="11.25">
      <c r="A14" s="4" t="s">
        <v>41</v>
      </c>
      <c r="B14" s="244" t="s">
        <v>159</v>
      </c>
      <c r="C14" s="245"/>
      <c r="D14" s="245"/>
      <c r="E14" s="245"/>
      <c r="F14" s="84">
        <v>0</v>
      </c>
      <c r="G14" s="84">
        <v>0</v>
      </c>
      <c r="H14" s="84">
        <v>0</v>
      </c>
      <c r="I14" s="84">
        <v>0</v>
      </c>
      <c r="J14" s="84">
        <v>0</v>
      </c>
      <c r="K14" s="84">
        <v>0</v>
      </c>
      <c r="L14" s="84">
        <v>0</v>
      </c>
      <c r="M14" s="84">
        <v>0</v>
      </c>
      <c r="N14" s="84">
        <v>0</v>
      </c>
      <c r="O14" s="84">
        <v>0</v>
      </c>
      <c r="P14" s="84">
        <v>0</v>
      </c>
      <c r="Q14" s="84">
        <v>0</v>
      </c>
      <c r="R14" s="84">
        <v>0</v>
      </c>
      <c r="S14" s="84">
        <v>0</v>
      </c>
      <c r="T14" s="84">
        <v>0</v>
      </c>
      <c r="U14" s="84">
        <v>0</v>
      </c>
      <c r="V14" s="84">
        <v>0</v>
      </c>
      <c r="W14" s="84">
        <v>0</v>
      </c>
      <c r="X14" s="84">
        <v>0</v>
      </c>
      <c r="Y14" s="84">
        <v>827</v>
      </c>
      <c r="Z14" s="84">
        <v>1060</v>
      </c>
      <c r="AA14" s="84">
        <v>1112</v>
      </c>
      <c r="AB14" s="84">
        <v>978</v>
      </c>
      <c r="AC14" s="84">
        <v>906</v>
      </c>
      <c r="AD14" s="84">
        <v>870</v>
      </c>
      <c r="AE14" s="84">
        <v>769</v>
      </c>
      <c r="AF14" s="84">
        <v>0</v>
      </c>
      <c r="AG14" s="84">
        <v>0</v>
      </c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>
        <v>0</v>
      </c>
      <c r="AU14" s="84">
        <v>0</v>
      </c>
      <c r="AV14" s="84">
        <v>0</v>
      </c>
      <c r="AW14" s="84">
        <v>0</v>
      </c>
      <c r="AX14" s="84">
        <v>0</v>
      </c>
      <c r="AY14" s="84">
        <v>0</v>
      </c>
      <c r="AZ14" s="84">
        <v>0</v>
      </c>
      <c r="BA14" s="84">
        <v>0</v>
      </c>
      <c r="BB14" s="84">
        <v>0</v>
      </c>
      <c r="BC14" s="49"/>
    </row>
    <row r="15" spans="1:55" s="21" customFormat="1" ht="11.25">
      <c r="A15" s="4" t="s">
        <v>19</v>
      </c>
      <c r="B15" s="5" t="s">
        <v>20</v>
      </c>
      <c r="C15" s="5"/>
      <c r="D15" s="5"/>
      <c r="F15" s="16">
        <v>454367</v>
      </c>
      <c r="G15" s="16">
        <v>444409</v>
      </c>
      <c r="H15" s="16">
        <v>437812</v>
      </c>
      <c r="I15" s="16">
        <v>418581</v>
      </c>
      <c r="J15" s="16">
        <v>413923</v>
      </c>
      <c r="K15" s="16">
        <v>434824</v>
      </c>
      <c r="L15" s="16">
        <v>430571</v>
      </c>
      <c r="M15" s="16">
        <v>438110</v>
      </c>
      <c r="N15" s="16">
        <v>415200</v>
      </c>
      <c r="O15" s="16">
        <v>257451</v>
      </c>
      <c r="P15" s="16">
        <v>264493</v>
      </c>
      <c r="Q15" s="16">
        <v>255311</v>
      </c>
      <c r="R15" s="16">
        <v>257660</v>
      </c>
      <c r="S15" s="16">
        <v>257701</v>
      </c>
      <c r="T15" s="16">
        <v>253609</v>
      </c>
      <c r="U15" s="16">
        <v>254197</v>
      </c>
      <c r="V15" s="16">
        <v>250970</v>
      </c>
      <c r="W15" s="16">
        <v>257371</v>
      </c>
      <c r="X15" s="16">
        <v>259124</v>
      </c>
      <c r="Y15" s="16">
        <v>266294</v>
      </c>
      <c r="Z15" s="16">
        <v>269094</v>
      </c>
      <c r="AA15" s="16">
        <v>267401</v>
      </c>
      <c r="AB15" s="16">
        <v>269902</v>
      </c>
      <c r="AC15" s="16">
        <v>285149</v>
      </c>
      <c r="AD15" s="16">
        <v>281806</v>
      </c>
      <c r="AE15" s="16">
        <v>306586</v>
      </c>
      <c r="AF15" s="16">
        <v>312125</v>
      </c>
      <c r="AG15" s="16">
        <v>341486</v>
      </c>
      <c r="AH15" s="16">
        <v>336720</v>
      </c>
      <c r="AI15" s="16">
        <v>329222</v>
      </c>
      <c r="AJ15" s="16">
        <v>343862</v>
      </c>
      <c r="AK15" s="16">
        <v>351376</v>
      </c>
      <c r="AL15" s="16">
        <v>333215</v>
      </c>
      <c r="AM15" s="16">
        <v>200115</v>
      </c>
      <c r="AN15" s="16">
        <v>198262</v>
      </c>
      <c r="AO15" s="16">
        <v>354201</v>
      </c>
      <c r="AP15" s="16">
        <v>381753</v>
      </c>
      <c r="AQ15" s="16">
        <v>367217</v>
      </c>
      <c r="AR15" s="16">
        <v>367551</v>
      </c>
      <c r="AS15" s="16">
        <v>396657</v>
      </c>
      <c r="AT15" s="16">
        <v>396565</v>
      </c>
      <c r="AU15" s="16">
        <v>373032</v>
      </c>
      <c r="AV15" s="16">
        <v>363583</v>
      </c>
      <c r="AW15" s="16">
        <v>379123</v>
      </c>
      <c r="AX15" s="16">
        <v>245323</v>
      </c>
      <c r="AY15" s="16">
        <v>213560</v>
      </c>
      <c r="AZ15" s="16">
        <v>237355</v>
      </c>
      <c r="BA15" s="16">
        <v>238542</v>
      </c>
      <c r="BB15" s="16">
        <v>90312</v>
      </c>
    </row>
    <row r="16" spans="1:55" s="21" customFormat="1" ht="11.25">
      <c r="A16" s="4" t="s">
        <v>21</v>
      </c>
      <c r="B16" s="5" t="s">
        <v>22</v>
      </c>
      <c r="C16" s="5"/>
      <c r="D16" s="5"/>
      <c r="F16" s="16">
        <v>1063483</v>
      </c>
      <c r="G16" s="16">
        <v>1060591</v>
      </c>
      <c r="H16" s="16">
        <v>1061580</v>
      </c>
      <c r="I16" s="16">
        <v>963714</v>
      </c>
      <c r="J16" s="16">
        <v>969470</v>
      </c>
      <c r="K16" s="16">
        <v>950517</v>
      </c>
      <c r="L16" s="16">
        <v>931908</v>
      </c>
      <c r="M16" s="16">
        <v>934901</v>
      </c>
      <c r="N16" s="16">
        <v>941121</v>
      </c>
      <c r="O16" s="16">
        <v>948095</v>
      </c>
      <c r="P16" s="16">
        <v>953158</v>
      </c>
      <c r="Q16" s="16">
        <v>1021064</v>
      </c>
      <c r="R16" s="16">
        <v>1028931</v>
      </c>
      <c r="S16" s="16">
        <v>1020055</v>
      </c>
      <c r="T16" s="16">
        <v>1023525</v>
      </c>
      <c r="U16" s="16">
        <v>1013735</v>
      </c>
      <c r="V16" s="16">
        <v>1022430</v>
      </c>
      <c r="W16" s="16">
        <v>982487</v>
      </c>
      <c r="X16" s="16">
        <v>987531</v>
      </c>
      <c r="Y16" s="16">
        <v>994328</v>
      </c>
      <c r="Z16" s="16">
        <v>984217</v>
      </c>
      <c r="AA16" s="16">
        <v>971068</v>
      </c>
      <c r="AB16" s="16">
        <v>975741</v>
      </c>
      <c r="AC16" s="16">
        <v>983511</v>
      </c>
      <c r="AD16" s="16">
        <v>989727</v>
      </c>
      <c r="AE16" s="16">
        <v>993178</v>
      </c>
      <c r="AF16" s="16">
        <v>995021</v>
      </c>
      <c r="AG16" s="16">
        <v>997070</v>
      </c>
      <c r="AH16" s="16">
        <v>997107</v>
      </c>
      <c r="AI16" s="16">
        <v>1006307</v>
      </c>
      <c r="AJ16" s="16">
        <v>1002056</v>
      </c>
      <c r="AK16" s="16">
        <v>978138</v>
      </c>
      <c r="AL16" s="16">
        <v>981115</v>
      </c>
      <c r="AM16" s="16">
        <v>977451</v>
      </c>
      <c r="AN16" s="16">
        <v>970754</v>
      </c>
      <c r="AO16" s="16">
        <v>967834</v>
      </c>
      <c r="AP16" s="16">
        <v>963133</v>
      </c>
      <c r="AQ16" s="16">
        <v>929215</v>
      </c>
      <c r="AR16" s="16">
        <v>928316</v>
      </c>
      <c r="AS16" s="16">
        <v>925445</v>
      </c>
      <c r="AT16" s="16">
        <v>924344</v>
      </c>
      <c r="AU16" s="16">
        <v>936225</v>
      </c>
      <c r="AV16" s="16">
        <v>920810</v>
      </c>
      <c r="AW16" s="16">
        <v>918279</v>
      </c>
      <c r="AX16" s="16">
        <v>918880</v>
      </c>
      <c r="AY16" s="16">
        <v>928613</v>
      </c>
      <c r="AZ16" s="16">
        <v>930343</v>
      </c>
      <c r="BA16" s="16">
        <v>926561</v>
      </c>
      <c r="BB16" s="16">
        <v>930766</v>
      </c>
    </row>
    <row r="17" spans="1:54" s="21" customFormat="1" ht="11.25">
      <c r="A17" s="4" t="s">
        <v>23</v>
      </c>
      <c r="B17" s="5" t="s">
        <v>24</v>
      </c>
      <c r="C17" s="5"/>
      <c r="D17" s="5"/>
      <c r="F17" s="16">
        <v>506627</v>
      </c>
      <c r="G17" s="16">
        <v>514829</v>
      </c>
      <c r="H17" s="16">
        <v>514178</v>
      </c>
      <c r="I17" s="16">
        <v>512273</v>
      </c>
      <c r="J17" s="16">
        <v>520829</v>
      </c>
      <c r="K17" s="16">
        <v>505219</v>
      </c>
      <c r="L17" s="16">
        <v>503616</v>
      </c>
      <c r="M17" s="16">
        <v>509976</v>
      </c>
      <c r="N17" s="16">
        <v>515164</v>
      </c>
      <c r="O17" s="16">
        <v>490939</v>
      </c>
      <c r="P17" s="16">
        <v>491761</v>
      </c>
      <c r="Q17" s="16">
        <v>493198</v>
      </c>
      <c r="R17" s="16">
        <v>498009</v>
      </c>
      <c r="S17" s="16">
        <v>486593</v>
      </c>
      <c r="T17" s="16">
        <v>487322</v>
      </c>
      <c r="U17" s="16">
        <v>487625</v>
      </c>
      <c r="V17" s="16">
        <v>491215</v>
      </c>
      <c r="W17" s="16">
        <v>475991</v>
      </c>
      <c r="X17" s="16">
        <v>477528</v>
      </c>
      <c r="Y17" s="16">
        <v>477684</v>
      </c>
      <c r="Z17" s="16">
        <v>467488</v>
      </c>
      <c r="AA17" s="16">
        <v>459115</v>
      </c>
      <c r="AB17" s="16">
        <v>459231</v>
      </c>
      <c r="AC17" s="16">
        <v>459122</v>
      </c>
      <c r="AD17" s="16">
        <v>457446</v>
      </c>
      <c r="AE17" s="16">
        <v>509675</v>
      </c>
      <c r="AF17" s="16">
        <v>510363</v>
      </c>
      <c r="AG17" s="16">
        <v>510645</v>
      </c>
      <c r="AH17" s="16">
        <v>510770</v>
      </c>
      <c r="AI17" s="16">
        <v>503362</v>
      </c>
      <c r="AJ17" s="16">
        <v>495289</v>
      </c>
      <c r="AK17" s="16">
        <v>499035</v>
      </c>
      <c r="AL17" s="16">
        <v>500766</v>
      </c>
      <c r="AM17" s="16">
        <v>497760</v>
      </c>
      <c r="AN17" s="16">
        <v>497995</v>
      </c>
      <c r="AO17" s="16">
        <v>482294</v>
      </c>
      <c r="AP17" s="16">
        <v>367958</v>
      </c>
      <c r="AQ17" s="16">
        <v>258355</v>
      </c>
      <c r="AR17" s="16">
        <v>256553</v>
      </c>
      <c r="AS17" s="16">
        <v>255145</v>
      </c>
      <c r="AT17" s="16">
        <v>254583</v>
      </c>
      <c r="AU17" s="16">
        <v>253855</v>
      </c>
      <c r="AV17" s="16">
        <v>253658</v>
      </c>
      <c r="AW17" s="16">
        <v>253719</v>
      </c>
      <c r="AX17" s="16">
        <v>253873</v>
      </c>
      <c r="AY17" s="16">
        <v>254133</v>
      </c>
      <c r="AZ17" s="16">
        <v>265284</v>
      </c>
      <c r="BA17" s="16">
        <v>294587</v>
      </c>
      <c r="BB17" s="16">
        <v>294591</v>
      </c>
    </row>
    <row r="18" spans="1:54" s="21" customFormat="1" ht="11.25">
      <c r="A18" s="4"/>
      <c r="B18" s="30" t="s">
        <v>276</v>
      </c>
      <c r="C18" s="5"/>
      <c r="D18" s="5"/>
      <c r="F18" s="16">
        <v>327084</v>
      </c>
      <c r="G18" s="16">
        <v>355441</v>
      </c>
      <c r="H18" s="16">
        <v>355441</v>
      </c>
      <c r="I18" s="16">
        <v>361505</v>
      </c>
      <c r="J18" s="16">
        <v>355441</v>
      </c>
      <c r="K18" s="16">
        <v>377141</v>
      </c>
      <c r="L18" s="16">
        <v>377141</v>
      </c>
      <c r="M18" s="16">
        <v>380395</v>
      </c>
      <c r="N18" s="16">
        <v>380395</v>
      </c>
      <c r="O18" s="16">
        <v>380395</v>
      </c>
      <c r="P18" s="16">
        <v>380395</v>
      </c>
      <c r="Q18" s="16">
        <v>380416</v>
      </c>
      <c r="R18" s="16">
        <v>380416</v>
      </c>
      <c r="S18" s="16">
        <v>380416</v>
      </c>
      <c r="T18" s="16">
        <v>380416</v>
      </c>
      <c r="U18" s="16">
        <v>380416</v>
      </c>
      <c r="V18" s="16">
        <v>380416</v>
      </c>
      <c r="W18" s="16">
        <v>383045</v>
      </c>
      <c r="X18" s="16">
        <v>383045</v>
      </c>
      <c r="Y18" s="16">
        <v>383045</v>
      </c>
      <c r="Z18" s="16">
        <v>375935</v>
      </c>
      <c r="AA18" s="16">
        <v>375947</v>
      </c>
      <c r="AB18" s="16">
        <v>375947</v>
      </c>
      <c r="AC18" s="16">
        <v>376184</v>
      </c>
      <c r="AD18" s="16">
        <v>376029</v>
      </c>
      <c r="AE18" s="16">
        <v>437318</v>
      </c>
      <c r="AF18" s="16">
        <v>441753</v>
      </c>
      <c r="AG18" s="16">
        <v>441771</v>
      </c>
      <c r="AH18" s="16">
        <v>445543</v>
      </c>
      <c r="AI18" s="16">
        <v>443169</v>
      </c>
      <c r="AJ18" s="16">
        <v>443201</v>
      </c>
      <c r="AK18" s="16">
        <v>448620</v>
      </c>
      <c r="AL18" s="16">
        <v>451814</v>
      </c>
      <c r="AM18" s="16">
        <v>476037</v>
      </c>
      <c r="AN18" s="16">
        <v>476086</v>
      </c>
      <c r="AO18" s="16">
        <v>461030</v>
      </c>
      <c r="AP18" s="16">
        <v>347718</v>
      </c>
      <c r="AQ18" s="16">
        <v>239773</v>
      </c>
      <c r="AR18" s="16">
        <v>239810</v>
      </c>
      <c r="AS18" s="16">
        <v>240005</v>
      </c>
      <c r="AT18" s="16">
        <v>240006</v>
      </c>
      <c r="AU18" s="16">
        <v>240482</v>
      </c>
      <c r="AV18" s="16">
        <v>240539</v>
      </c>
      <c r="AW18" s="16">
        <v>240796</v>
      </c>
      <c r="AX18" s="16">
        <v>240905</v>
      </c>
      <c r="AY18" s="16">
        <v>241119</v>
      </c>
      <c r="AZ18" s="16">
        <v>253652</v>
      </c>
      <c r="BA18" s="16">
        <v>282488</v>
      </c>
      <c r="BB18" s="16">
        <v>282595</v>
      </c>
    </row>
    <row r="19" spans="1:54" s="21" customFormat="1" ht="11.25">
      <c r="A19" s="4" t="s">
        <v>25</v>
      </c>
      <c r="B19" s="5" t="s">
        <v>26</v>
      </c>
      <c r="C19" s="5"/>
      <c r="D19" s="5"/>
      <c r="F19" s="16">
        <v>1848127</v>
      </c>
      <c r="G19" s="16">
        <v>1773988</v>
      </c>
      <c r="H19" s="16">
        <v>1873656</v>
      </c>
      <c r="I19" s="16">
        <v>1460712</v>
      </c>
      <c r="J19" s="16">
        <v>1518027</v>
      </c>
      <c r="K19" s="16">
        <v>1375691</v>
      </c>
      <c r="L19" s="16">
        <v>1446130</v>
      </c>
      <c r="M19" s="16">
        <v>1399410</v>
      </c>
      <c r="N19" s="16">
        <v>1471928</v>
      </c>
      <c r="O19" s="16">
        <v>1308631</v>
      </c>
      <c r="P19" s="16">
        <v>1357683</v>
      </c>
      <c r="Q19" s="16">
        <v>1281670</v>
      </c>
      <c r="R19" s="16">
        <v>1361322</v>
      </c>
      <c r="S19" s="16">
        <v>1183068</v>
      </c>
      <c r="T19" s="16">
        <v>1213905</v>
      </c>
      <c r="U19" s="16">
        <v>1174233</v>
      </c>
      <c r="V19" s="16">
        <v>1184567</v>
      </c>
      <c r="W19" s="16">
        <v>987426</v>
      </c>
      <c r="X19" s="16">
        <v>1069469</v>
      </c>
      <c r="Y19" s="16">
        <v>960300</v>
      </c>
      <c r="Z19" s="16">
        <v>957066</v>
      </c>
      <c r="AA19" s="16">
        <v>731504</v>
      </c>
      <c r="AB19" s="16">
        <v>722957</v>
      </c>
      <c r="AC19" s="16">
        <v>650766</v>
      </c>
      <c r="AD19" s="16">
        <v>694047</v>
      </c>
      <c r="AE19" s="16">
        <v>534504</v>
      </c>
      <c r="AF19" s="16">
        <v>503585</v>
      </c>
      <c r="AG19" s="16">
        <v>489665</v>
      </c>
      <c r="AH19" s="16">
        <v>525540</v>
      </c>
      <c r="AI19" s="16">
        <v>570281</v>
      </c>
      <c r="AJ19" s="16">
        <v>563373</v>
      </c>
      <c r="AK19" s="16">
        <v>691936</v>
      </c>
      <c r="AL19" s="16">
        <f>+AL20+AL21</f>
        <v>449927</v>
      </c>
      <c r="AM19" s="16">
        <v>502122</v>
      </c>
      <c r="AN19" s="16">
        <v>482507</v>
      </c>
      <c r="AO19" s="16">
        <v>639223</v>
      </c>
      <c r="AP19" s="16">
        <v>564335</v>
      </c>
      <c r="AQ19" s="16">
        <v>344940</v>
      </c>
      <c r="AR19" s="16">
        <v>334048</v>
      </c>
      <c r="AS19" s="16">
        <v>460316</v>
      </c>
      <c r="AT19" s="16">
        <v>462450</v>
      </c>
      <c r="AU19" s="16">
        <v>348140</v>
      </c>
      <c r="AV19" s="16">
        <v>347660</v>
      </c>
      <c r="AW19" s="16">
        <v>444614</v>
      </c>
      <c r="AX19" s="16">
        <v>445892</v>
      </c>
      <c r="AY19" s="16">
        <v>298397</v>
      </c>
      <c r="AZ19" s="16">
        <v>298682</v>
      </c>
      <c r="BA19" s="16">
        <v>403051</v>
      </c>
      <c r="BB19" s="16">
        <v>404928</v>
      </c>
    </row>
    <row r="20" spans="1:54" s="21" customFormat="1" ht="11.25">
      <c r="A20" s="4"/>
      <c r="B20" s="5" t="s">
        <v>27</v>
      </c>
      <c r="C20" s="5"/>
      <c r="D20" s="5"/>
      <c r="F20" s="16">
        <v>575441</v>
      </c>
      <c r="G20" s="16">
        <v>492027</v>
      </c>
      <c r="H20" s="16">
        <v>473789</v>
      </c>
      <c r="I20" s="16">
        <v>161626</v>
      </c>
      <c r="J20" s="16">
        <v>221395</v>
      </c>
      <c r="K20" s="16">
        <v>142332</v>
      </c>
      <c r="L20" s="16">
        <v>209914</v>
      </c>
      <c r="M20" s="16">
        <v>144354</v>
      </c>
      <c r="N20" s="16">
        <v>208238</v>
      </c>
      <c r="O20" s="16">
        <v>73252</v>
      </c>
      <c r="P20" s="16">
        <v>138951</v>
      </c>
      <c r="Q20" s="16">
        <v>96740</v>
      </c>
      <c r="R20" s="16">
        <v>181989</v>
      </c>
      <c r="S20" s="16">
        <v>78464</v>
      </c>
      <c r="T20" s="16">
        <v>135806</v>
      </c>
      <c r="U20" s="16">
        <v>88894</v>
      </c>
      <c r="V20" s="16">
        <v>145989</v>
      </c>
      <c r="W20" s="16">
        <v>64270</v>
      </c>
      <c r="X20" s="16">
        <v>113581</v>
      </c>
      <c r="Y20" s="16">
        <v>71964</v>
      </c>
      <c r="Z20" s="16">
        <v>113483</v>
      </c>
      <c r="AA20" s="16">
        <v>26521</v>
      </c>
      <c r="AB20" s="16">
        <v>22207</v>
      </c>
      <c r="AC20" s="16">
        <v>25706</v>
      </c>
      <c r="AD20" s="16">
        <v>43040</v>
      </c>
      <c r="AE20" s="16">
        <v>31464</v>
      </c>
      <c r="AF20" s="16">
        <v>34528</v>
      </c>
      <c r="AG20" s="16">
        <v>35195</v>
      </c>
      <c r="AH20" s="16">
        <v>77091</v>
      </c>
      <c r="AI20" s="16">
        <v>131956</v>
      </c>
      <c r="AJ20" s="16">
        <v>133890</v>
      </c>
      <c r="AK20" s="16">
        <v>281826</v>
      </c>
      <c r="AL20" s="16">
        <f>282439-228961</f>
        <v>53478</v>
      </c>
      <c r="AM20" s="16">
        <v>168827</v>
      </c>
      <c r="AN20" s="16">
        <v>159024</v>
      </c>
      <c r="AO20" s="16">
        <v>351170</v>
      </c>
      <c r="AP20" s="16">
        <v>345593</v>
      </c>
      <c r="AQ20" s="16">
        <v>144725</v>
      </c>
      <c r="AR20" s="16">
        <v>143748</v>
      </c>
      <c r="AS20" s="16">
        <v>292219</v>
      </c>
      <c r="AT20" s="16">
        <v>296095</v>
      </c>
      <c r="AU20" s="16">
        <v>129797</v>
      </c>
      <c r="AV20" s="16">
        <v>128858</v>
      </c>
      <c r="AW20" s="16">
        <v>231086</v>
      </c>
      <c r="AX20" s="16">
        <v>231065</v>
      </c>
      <c r="AY20" s="16">
        <v>103192</v>
      </c>
      <c r="AZ20" s="16">
        <v>102650</v>
      </c>
      <c r="BA20" s="16">
        <v>189681</v>
      </c>
      <c r="BB20" s="16">
        <v>187808</v>
      </c>
    </row>
    <row r="21" spans="1:54" s="21" customFormat="1" ht="11.25">
      <c r="A21" s="4"/>
      <c r="B21" s="5" t="s">
        <v>28</v>
      </c>
      <c r="C21" s="5"/>
      <c r="D21" s="5"/>
      <c r="F21" s="16">
        <v>1272686</v>
      </c>
      <c r="G21" s="16">
        <v>1281961</v>
      </c>
      <c r="H21" s="16">
        <v>1399867</v>
      </c>
      <c r="I21" s="16">
        <v>1299086</v>
      </c>
      <c r="J21" s="16">
        <v>1296632</v>
      </c>
      <c r="K21" s="16">
        <v>1233359</v>
      </c>
      <c r="L21" s="16">
        <v>1236216</v>
      </c>
      <c r="M21" s="16">
        <v>1255056</v>
      </c>
      <c r="N21" s="16">
        <v>1263690</v>
      </c>
      <c r="O21" s="16">
        <v>1235379</v>
      </c>
      <c r="P21" s="16">
        <v>1218732</v>
      </c>
      <c r="Q21" s="16">
        <v>1184930</v>
      </c>
      <c r="R21" s="16">
        <v>1179333</v>
      </c>
      <c r="S21" s="16">
        <v>1104604</v>
      </c>
      <c r="T21" s="16">
        <v>1078099</v>
      </c>
      <c r="U21" s="16">
        <v>1085339</v>
      </c>
      <c r="V21" s="16">
        <v>1038578</v>
      </c>
      <c r="W21" s="16">
        <v>923156</v>
      </c>
      <c r="X21" s="16">
        <v>955888</v>
      </c>
      <c r="Y21" s="16">
        <v>888336</v>
      </c>
      <c r="Z21" s="16">
        <v>843583</v>
      </c>
      <c r="AA21" s="16">
        <v>704983</v>
      </c>
      <c r="AB21" s="16">
        <v>700750</v>
      </c>
      <c r="AC21" s="16">
        <v>625060</v>
      </c>
      <c r="AD21" s="16">
        <v>651007</v>
      </c>
      <c r="AE21" s="16">
        <v>503040</v>
      </c>
      <c r="AF21" s="16">
        <v>469057</v>
      </c>
      <c r="AG21" s="16">
        <v>454470</v>
      </c>
      <c r="AH21" s="16">
        <v>448449</v>
      </c>
      <c r="AI21" s="16">
        <v>438325</v>
      </c>
      <c r="AJ21" s="16">
        <v>429483</v>
      </c>
      <c r="AK21" s="16">
        <v>410110</v>
      </c>
      <c r="AL21" s="16">
        <v>396449</v>
      </c>
      <c r="AM21" s="16">
        <v>333295</v>
      </c>
      <c r="AN21" s="16">
        <v>323483</v>
      </c>
      <c r="AO21" s="16">
        <v>288053</v>
      </c>
      <c r="AP21" s="16">
        <v>218742</v>
      </c>
      <c r="AQ21" s="16">
        <v>200215</v>
      </c>
      <c r="AR21" s="16">
        <v>190300</v>
      </c>
      <c r="AS21" s="16">
        <v>168097</v>
      </c>
      <c r="AT21" s="16">
        <v>166355</v>
      </c>
      <c r="AU21" s="16">
        <v>218343</v>
      </c>
      <c r="AV21" s="16">
        <v>218802</v>
      </c>
      <c r="AW21" s="16">
        <v>213528</v>
      </c>
      <c r="AX21" s="16">
        <v>214827</v>
      </c>
      <c r="AY21" s="16">
        <v>195205</v>
      </c>
      <c r="AZ21" s="16">
        <v>196032</v>
      </c>
      <c r="BA21" s="16">
        <v>213370</v>
      </c>
      <c r="BB21" s="16">
        <v>217121</v>
      </c>
    </row>
    <row r="22" spans="1:54" s="21" customFormat="1" ht="11.25">
      <c r="A22" s="4"/>
      <c r="B22" s="5"/>
      <c r="C22" s="30" t="s">
        <v>170</v>
      </c>
      <c r="D22" s="5"/>
      <c r="F22" s="16">
        <v>1021455</v>
      </c>
      <c r="G22" s="16">
        <v>1064624</v>
      </c>
      <c r="H22" s="16">
        <v>1161212</v>
      </c>
      <c r="I22" s="16">
        <v>1068205</v>
      </c>
      <c r="J22" s="16">
        <v>1073172</v>
      </c>
      <c r="K22" s="16">
        <v>1035097</v>
      </c>
      <c r="L22" s="16">
        <v>1046584</v>
      </c>
      <c r="M22" s="16">
        <v>1059926</v>
      </c>
      <c r="N22" s="16">
        <v>1072618</v>
      </c>
      <c r="O22" s="16">
        <v>1050668</v>
      </c>
      <c r="P22" s="16">
        <v>1041460</v>
      </c>
      <c r="Q22" s="16">
        <v>1022979</v>
      </c>
      <c r="R22" s="16">
        <v>1018156</v>
      </c>
      <c r="S22" s="16">
        <v>951053</v>
      </c>
      <c r="T22" s="16">
        <v>927358</v>
      </c>
      <c r="U22" s="16">
        <v>938763</v>
      </c>
      <c r="V22" s="16">
        <v>893224</v>
      </c>
      <c r="W22" s="16">
        <v>785990</v>
      </c>
      <c r="X22" s="16">
        <v>810809</v>
      </c>
      <c r="Y22" s="16">
        <v>760792</v>
      </c>
      <c r="Z22" s="16">
        <v>715316</v>
      </c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>
        <v>0</v>
      </c>
      <c r="AV22" s="16">
        <v>0</v>
      </c>
      <c r="AW22" s="16">
        <v>0</v>
      </c>
      <c r="AX22" s="16">
        <v>0</v>
      </c>
      <c r="AY22" s="16">
        <v>0</v>
      </c>
      <c r="AZ22" s="16">
        <v>0</v>
      </c>
      <c r="BA22" s="16">
        <v>0</v>
      </c>
      <c r="BB22" s="16">
        <v>0</v>
      </c>
    </row>
    <row r="23" spans="1:54" s="21" customFormat="1" ht="11.25">
      <c r="A23" s="4" t="s">
        <v>29</v>
      </c>
      <c r="B23" s="244" t="s">
        <v>30</v>
      </c>
      <c r="C23" s="246"/>
      <c r="D23" s="246"/>
      <c r="E23" s="246"/>
      <c r="F23" s="85">
        <v>0</v>
      </c>
      <c r="G23" s="85">
        <v>0</v>
      </c>
      <c r="H23" s="85">
        <v>7653</v>
      </c>
      <c r="I23" s="85">
        <v>0</v>
      </c>
      <c r="J23" s="85">
        <v>0</v>
      </c>
      <c r="K23" s="85">
        <v>0</v>
      </c>
      <c r="L23" s="85">
        <v>0</v>
      </c>
      <c r="M23" s="85">
        <v>0</v>
      </c>
      <c r="N23" s="85">
        <v>0</v>
      </c>
      <c r="O23" s="85">
        <v>2817</v>
      </c>
      <c r="P23" s="85">
        <v>2817</v>
      </c>
      <c r="Q23" s="85">
        <v>2817</v>
      </c>
      <c r="R23" s="85">
        <v>2817</v>
      </c>
      <c r="S23" s="85">
        <v>2817</v>
      </c>
      <c r="T23" s="85">
        <v>2817</v>
      </c>
      <c r="U23" s="85">
        <v>2817</v>
      </c>
      <c r="V23" s="85">
        <v>2817</v>
      </c>
      <c r="W23" s="85">
        <v>2817</v>
      </c>
      <c r="X23" s="85">
        <v>5307</v>
      </c>
      <c r="Y23" s="85">
        <v>2817</v>
      </c>
      <c r="Z23" s="85">
        <v>18329</v>
      </c>
      <c r="AA23" s="85">
        <v>62223</v>
      </c>
      <c r="AB23" s="85">
        <v>54145</v>
      </c>
      <c r="AC23" s="85">
        <v>54918</v>
      </c>
      <c r="AD23" s="85">
        <v>45820</v>
      </c>
      <c r="AE23" s="85">
        <v>44222</v>
      </c>
      <c r="AF23" s="85">
        <v>48269</v>
      </c>
      <c r="AG23" s="85">
        <v>44293</v>
      </c>
      <c r="AH23" s="85">
        <v>116419</v>
      </c>
      <c r="AI23" s="85">
        <v>126556</v>
      </c>
      <c r="AJ23" s="85">
        <v>41895</v>
      </c>
      <c r="AK23" s="85">
        <v>3901295</v>
      </c>
      <c r="AL23" s="85">
        <v>3891307</v>
      </c>
      <c r="AM23" s="85">
        <v>3643577</v>
      </c>
      <c r="AN23" s="85">
        <v>3673021</v>
      </c>
      <c r="AO23" s="85">
        <v>12632</v>
      </c>
      <c r="AP23" s="85">
        <v>8274</v>
      </c>
      <c r="AQ23" s="85">
        <v>8000</v>
      </c>
      <c r="AR23" s="85">
        <v>8000</v>
      </c>
      <c r="AS23" s="85">
        <v>9922</v>
      </c>
      <c r="AT23" s="85">
        <v>10346</v>
      </c>
      <c r="AU23" s="85">
        <v>8000</v>
      </c>
      <c r="AV23" s="85">
        <v>13187</v>
      </c>
      <c r="AW23" s="85">
        <v>13500</v>
      </c>
      <c r="AX23" s="85">
        <v>13643</v>
      </c>
      <c r="AY23" s="85">
        <v>0</v>
      </c>
      <c r="AZ23" s="85">
        <v>149396</v>
      </c>
      <c r="BA23" s="85">
        <v>0</v>
      </c>
      <c r="BB23" s="85">
        <v>0</v>
      </c>
    </row>
    <row r="24" spans="1:54" s="31" customFormat="1" ht="11.25">
      <c r="A24" s="4" t="s">
        <v>31</v>
      </c>
      <c r="B24" s="5" t="s">
        <v>32</v>
      </c>
      <c r="C24" s="5"/>
      <c r="D24" s="5"/>
      <c r="E24" s="21"/>
      <c r="F24" s="16">
        <v>704899</v>
      </c>
      <c r="G24" s="16">
        <v>672707</v>
      </c>
      <c r="H24" s="16">
        <v>733158</v>
      </c>
      <c r="I24" s="16">
        <v>539651</v>
      </c>
      <c r="J24" s="16">
        <v>574175</v>
      </c>
      <c r="K24" s="16">
        <v>820876</v>
      </c>
      <c r="L24" s="16">
        <v>676116</v>
      </c>
      <c r="M24" s="16">
        <v>540538</v>
      </c>
      <c r="N24" s="16">
        <v>1136326</v>
      </c>
      <c r="O24" s="16">
        <v>665393</v>
      </c>
      <c r="P24" s="16">
        <v>767777</v>
      </c>
      <c r="Q24" s="16">
        <v>656629</v>
      </c>
      <c r="R24" s="16">
        <v>1085733</v>
      </c>
      <c r="S24" s="16">
        <v>986062</v>
      </c>
      <c r="T24" s="16">
        <v>1056303</v>
      </c>
      <c r="U24" s="16">
        <v>828765</v>
      </c>
      <c r="V24" s="16">
        <v>1105493</v>
      </c>
      <c r="W24" s="16">
        <v>967758</v>
      </c>
      <c r="X24" s="16">
        <v>968225</v>
      </c>
      <c r="Y24" s="16">
        <v>727999</v>
      </c>
      <c r="Z24" s="16">
        <v>907165</v>
      </c>
      <c r="AA24" s="16">
        <v>994103</v>
      </c>
      <c r="AB24" s="16">
        <v>785449</v>
      </c>
      <c r="AC24" s="16">
        <v>816376</v>
      </c>
      <c r="AD24" s="16">
        <v>898219</v>
      </c>
      <c r="AE24" s="16">
        <v>796510</v>
      </c>
      <c r="AF24" s="16">
        <v>744332</v>
      </c>
      <c r="AG24" s="16">
        <v>972931</v>
      </c>
      <c r="AH24" s="16">
        <v>889203</v>
      </c>
      <c r="AI24" s="16">
        <v>742123</v>
      </c>
      <c r="AJ24" s="16">
        <v>814640</v>
      </c>
      <c r="AK24" s="16">
        <v>858849</v>
      </c>
      <c r="AL24" s="16">
        <f>949608</f>
        <v>949608</v>
      </c>
      <c r="AM24" s="16">
        <v>735751</v>
      </c>
      <c r="AN24" s="16">
        <v>806570</v>
      </c>
      <c r="AO24" s="16">
        <v>754773</v>
      </c>
      <c r="AP24" s="16">
        <v>779932</v>
      </c>
      <c r="AQ24" s="16">
        <v>784208</v>
      </c>
      <c r="AR24" s="16">
        <v>826752</v>
      </c>
      <c r="AS24" s="16">
        <v>819981</v>
      </c>
      <c r="AT24" s="16">
        <v>760618</v>
      </c>
      <c r="AU24" s="16">
        <v>630183</v>
      </c>
      <c r="AV24" s="16">
        <v>753450</v>
      </c>
      <c r="AW24" s="16">
        <v>698610</v>
      </c>
      <c r="AX24" s="16">
        <v>712081</v>
      </c>
      <c r="AY24" s="16">
        <v>630549</v>
      </c>
      <c r="AZ24" s="16">
        <v>811271</v>
      </c>
      <c r="BA24" s="16">
        <v>778959</v>
      </c>
      <c r="BB24" s="16">
        <v>871036</v>
      </c>
    </row>
    <row r="25" spans="1:54" s="21" customFormat="1" ht="11.25">
      <c r="A25" s="32"/>
      <c r="B25" s="22" t="s">
        <v>33</v>
      </c>
      <c r="C25" s="22"/>
      <c r="D25" s="22"/>
      <c r="E25" s="33"/>
      <c r="F25" s="23">
        <v>71338807</v>
      </c>
      <c r="G25" s="23">
        <v>70296773</v>
      </c>
      <c r="H25" s="23">
        <v>70512244</v>
      </c>
      <c r="I25" s="23">
        <v>67883801</v>
      </c>
      <c r="J25" s="23">
        <v>64960024</v>
      </c>
      <c r="K25" s="23">
        <v>62632791</v>
      </c>
      <c r="L25" s="23">
        <v>62450390</v>
      </c>
      <c r="M25" s="23">
        <v>61407556</v>
      </c>
      <c r="N25" s="23">
        <v>61261231</v>
      </c>
      <c r="O25" s="23">
        <v>60658489</v>
      </c>
      <c r="P25" s="23">
        <v>60924918</v>
      </c>
      <c r="Q25" s="23">
        <v>60604875</v>
      </c>
      <c r="R25" s="23">
        <v>60652920</v>
      </c>
      <c r="S25" s="23">
        <v>60482619</v>
      </c>
      <c r="T25" s="23">
        <v>60930915</v>
      </c>
      <c r="U25" s="23">
        <v>60711085</v>
      </c>
      <c r="V25" s="23">
        <v>61758052</v>
      </c>
      <c r="W25" s="23">
        <v>61438402</v>
      </c>
      <c r="X25" s="23">
        <v>62577865</v>
      </c>
      <c r="Y25" s="23">
        <v>62398464</v>
      </c>
      <c r="Z25" s="23">
        <v>61637758</v>
      </c>
      <c r="AA25" s="23">
        <v>61881304</v>
      </c>
      <c r="AB25" s="23">
        <v>61043986</v>
      </c>
      <c r="AC25" s="23">
        <v>60150647</v>
      </c>
      <c r="AD25" s="23">
        <v>60487931</v>
      </c>
      <c r="AE25" s="23">
        <v>60451064</v>
      </c>
      <c r="AF25" s="23">
        <v>59353760</v>
      </c>
      <c r="AG25" s="23">
        <v>59271686</v>
      </c>
      <c r="AH25" s="23">
        <v>58498416</v>
      </c>
      <c r="AI25" s="23">
        <v>57928118</v>
      </c>
      <c r="AJ25" s="23">
        <v>56821304</v>
      </c>
      <c r="AK25" s="23">
        <v>59625948</v>
      </c>
      <c r="AL25" s="23">
        <f>SUM(AL6:AL17)+AL19+AL23+AL24</f>
        <v>59360483</v>
      </c>
      <c r="AM25" s="23">
        <v>58288114</v>
      </c>
      <c r="AN25" s="23">
        <v>58069043</v>
      </c>
      <c r="AO25" s="23">
        <v>54840337</v>
      </c>
      <c r="AP25" s="23">
        <v>52772092</v>
      </c>
      <c r="AQ25" s="23">
        <v>51294695</v>
      </c>
      <c r="AR25" s="23">
        <f>SUM(AR6:AR24)-AR18-AR19</f>
        <v>50561378</v>
      </c>
      <c r="AS25" s="23">
        <f>SUM(AS6:AS24)-AS18-AS19</f>
        <v>48832440</v>
      </c>
      <c r="AT25" s="23">
        <v>48544033</v>
      </c>
      <c r="AU25" s="23">
        <v>46353785</v>
      </c>
      <c r="AV25" s="23">
        <v>46950580</v>
      </c>
      <c r="AW25" s="23">
        <v>45076191</v>
      </c>
      <c r="AX25" s="23">
        <v>45257632</v>
      </c>
      <c r="AY25" s="23">
        <v>43429059</v>
      </c>
      <c r="AZ25" s="23">
        <v>43746737</v>
      </c>
      <c r="BA25" s="23">
        <v>43045741</v>
      </c>
      <c r="BB25" s="23">
        <v>43364456</v>
      </c>
    </row>
    <row r="26" spans="1:54" s="21" customFormat="1" ht="11.25">
      <c r="A26" s="34"/>
      <c r="B26" s="5"/>
      <c r="C26" s="5"/>
      <c r="D26" s="35"/>
      <c r="E26" s="19"/>
      <c r="F26" s="86"/>
      <c r="G26" s="86"/>
      <c r="H26" s="86"/>
      <c r="I26" s="86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0"/>
      <c r="AB26" s="36"/>
      <c r="AD26" s="19"/>
      <c r="AE26" s="19"/>
      <c r="AF26" s="10"/>
      <c r="AG26" s="10"/>
      <c r="AH26" s="10"/>
      <c r="AJ26" s="36"/>
      <c r="AL26" s="36"/>
    </row>
    <row r="27" spans="1:54" s="21" customFormat="1" ht="11.25">
      <c r="A27" s="37"/>
      <c r="B27" s="37"/>
      <c r="C27" s="37"/>
      <c r="D27" s="37"/>
      <c r="Z27" s="38"/>
      <c r="AH27" s="38"/>
    </row>
    <row r="28" spans="1:54" s="21" customFormat="1" ht="12" thickBot="1">
      <c r="A28" s="81" t="s">
        <v>277</v>
      </c>
    </row>
    <row r="29" spans="1:54" s="21" customFormat="1" ht="21" customHeight="1" thickBot="1">
      <c r="A29" s="241" t="s">
        <v>34</v>
      </c>
      <c r="B29" s="241"/>
      <c r="C29" s="241"/>
      <c r="D29" s="241"/>
      <c r="E29" s="241">
        <v>2005</v>
      </c>
      <c r="F29" s="25" t="s">
        <v>304</v>
      </c>
      <c r="G29" s="25" t="s">
        <v>289</v>
      </c>
      <c r="H29" s="25" t="s">
        <v>278</v>
      </c>
      <c r="I29" s="25" t="s">
        <v>278</v>
      </c>
      <c r="J29" s="25" t="str">
        <f>+J4</f>
        <v>31.12.2016</v>
      </c>
      <c r="K29" s="25" t="s">
        <v>240</v>
      </c>
      <c r="L29" s="25" t="s">
        <v>232</v>
      </c>
      <c r="M29" s="25" t="s">
        <v>232</v>
      </c>
      <c r="N29" s="25" t="s">
        <v>230</v>
      </c>
      <c r="O29" s="25" t="s">
        <v>228</v>
      </c>
      <c r="P29" s="25" t="s">
        <v>185</v>
      </c>
      <c r="Q29" s="25" t="s">
        <v>186</v>
      </c>
      <c r="R29" s="25" t="s">
        <v>183</v>
      </c>
      <c r="S29" s="25" t="s">
        <v>178</v>
      </c>
      <c r="T29" s="25" t="s">
        <v>179</v>
      </c>
      <c r="U29" s="25" t="s">
        <v>180</v>
      </c>
      <c r="V29" s="25" t="s">
        <v>171</v>
      </c>
      <c r="W29" s="25" t="s">
        <v>172</v>
      </c>
      <c r="X29" s="25" t="s">
        <v>173</v>
      </c>
      <c r="Y29" s="25" t="s">
        <v>174</v>
      </c>
      <c r="Z29" s="25" t="s">
        <v>163</v>
      </c>
      <c r="AA29" s="25" t="s">
        <v>168</v>
      </c>
      <c r="AB29" s="25" t="s">
        <v>167</v>
      </c>
      <c r="AC29" s="25" t="s">
        <v>166</v>
      </c>
      <c r="AD29" s="25" t="s">
        <v>161</v>
      </c>
      <c r="AE29" s="25" t="s">
        <v>158</v>
      </c>
      <c r="AF29" s="25" t="s">
        <v>141</v>
      </c>
      <c r="AG29" s="25" t="str">
        <f>+AG4</f>
        <v>31.03.2011</v>
      </c>
      <c r="AH29" s="25" t="str">
        <f>+AH4</f>
        <v>31.12.2010</v>
      </c>
      <c r="AI29" s="25" t="s">
        <v>115</v>
      </c>
      <c r="AJ29" s="25" t="s">
        <v>116</v>
      </c>
      <c r="AK29" s="25" t="s">
        <v>65</v>
      </c>
      <c r="AL29" s="25" t="s">
        <v>142</v>
      </c>
      <c r="AM29" s="25" t="s">
        <v>143</v>
      </c>
      <c r="AN29" s="25" t="s">
        <v>144</v>
      </c>
      <c r="AO29" s="25" t="s">
        <v>145</v>
      </c>
      <c r="AP29" s="25" t="s">
        <v>150</v>
      </c>
      <c r="AQ29" s="25" t="s">
        <v>151</v>
      </c>
      <c r="AR29" s="25" t="s">
        <v>153</v>
      </c>
      <c r="AS29" s="25" t="s">
        <v>152</v>
      </c>
      <c r="AT29" s="25" t="s">
        <v>279</v>
      </c>
      <c r="AU29" s="25" t="s">
        <v>280</v>
      </c>
      <c r="AV29" s="25" t="s">
        <v>281</v>
      </c>
      <c r="AW29" s="25" t="s">
        <v>282</v>
      </c>
      <c r="AX29" s="25" t="s">
        <v>283</v>
      </c>
      <c r="AY29" s="25" t="s">
        <v>284</v>
      </c>
      <c r="AZ29" s="25" t="s">
        <v>285</v>
      </c>
      <c r="BA29" s="25" t="s">
        <v>286</v>
      </c>
      <c r="BB29" s="25" t="s">
        <v>287</v>
      </c>
    </row>
    <row r="30" spans="1:54" s="21" customFormat="1" ht="12.75" hidden="1" customHeight="1">
      <c r="A30" s="242"/>
      <c r="B30" s="242"/>
      <c r="C30" s="242"/>
      <c r="D30" s="29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</row>
    <row r="31" spans="1:54" s="21" customFormat="1" ht="2.25" customHeight="1">
      <c r="A31" s="28"/>
      <c r="B31" s="28"/>
      <c r="C31" s="28"/>
      <c r="D31" s="29"/>
      <c r="E31" s="28"/>
      <c r="F31" s="28">
        <v>12754775</v>
      </c>
      <c r="G31" s="28">
        <v>12754775</v>
      </c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</row>
    <row r="32" spans="1:54" s="21" customFormat="1" ht="12.75" customHeight="1">
      <c r="A32" s="4" t="s">
        <v>4</v>
      </c>
      <c r="B32" s="5" t="s">
        <v>35</v>
      </c>
      <c r="C32" s="5"/>
      <c r="D32" s="5"/>
      <c r="F32" s="16">
        <v>12984226</v>
      </c>
      <c r="G32" s="16">
        <v>12754775</v>
      </c>
      <c r="H32" s="16">
        <v>12525199</v>
      </c>
      <c r="I32" s="16">
        <v>12888622</v>
      </c>
      <c r="J32" s="16">
        <v>9462678</v>
      </c>
      <c r="K32" s="16">
        <v>8353142</v>
      </c>
      <c r="L32" s="16">
        <v>8086124</v>
      </c>
      <c r="M32" s="16">
        <v>6497622</v>
      </c>
      <c r="N32" s="16">
        <v>5522992</v>
      </c>
      <c r="O32" s="16">
        <v>5728139</v>
      </c>
      <c r="P32" s="16">
        <v>6091707</v>
      </c>
      <c r="Q32" s="16">
        <v>6849585</v>
      </c>
      <c r="R32" s="16">
        <v>6479558</v>
      </c>
      <c r="S32" s="16">
        <v>5440294</v>
      </c>
      <c r="T32" s="16">
        <v>7316650</v>
      </c>
      <c r="U32" s="16">
        <v>6758626</v>
      </c>
      <c r="V32" s="16">
        <v>7820719</v>
      </c>
      <c r="W32" s="16">
        <v>8035535</v>
      </c>
      <c r="X32" s="16">
        <v>9192032</v>
      </c>
      <c r="Y32" s="16">
        <v>7810745</v>
      </c>
      <c r="Z32" s="16">
        <v>7269461</v>
      </c>
      <c r="AA32" s="16">
        <v>8525498</v>
      </c>
      <c r="AB32" s="16">
        <v>7951304</v>
      </c>
      <c r="AC32" s="16">
        <v>6251832</v>
      </c>
      <c r="AD32" s="16">
        <v>5210768</v>
      </c>
      <c r="AE32" s="16">
        <v>5321825</v>
      </c>
      <c r="AF32" s="16">
        <v>3311069</v>
      </c>
      <c r="AG32" s="16">
        <v>3009642</v>
      </c>
      <c r="AH32" s="16">
        <v>3698165</v>
      </c>
      <c r="AI32" s="16">
        <v>2806726</v>
      </c>
      <c r="AJ32" s="16">
        <v>2411116</v>
      </c>
      <c r="AK32" s="16">
        <v>2730888</v>
      </c>
      <c r="AL32" s="16">
        <v>2190602</v>
      </c>
      <c r="AM32" s="16">
        <v>2302306</v>
      </c>
      <c r="AN32" s="16">
        <v>2144092</v>
      </c>
      <c r="AO32" s="16">
        <v>2476204</v>
      </c>
      <c r="AP32" s="16">
        <v>1160379</v>
      </c>
      <c r="AQ32" s="16">
        <v>2108065</v>
      </c>
      <c r="AR32" s="16">
        <v>2864148</v>
      </c>
      <c r="AS32" s="16">
        <v>2285596</v>
      </c>
      <c r="AT32" s="16">
        <v>2104978</v>
      </c>
      <c r="AU32" s="16">
        <v>1747364</v>
      </c>
      <c r="AV32" s="16">
        <v>2114347</v>
      </c>
      <c r="AW32" s="16">
        <v>1739877</v>
      </c>
      <c r="AX32" s="16">
        <v>1729437</v>
      </c>
      <c r="AY32" s="16">
        <v>1629239</v>
      </c>
      <c r="AZ32" s="16">
        <v>1553719</v>
      </c>
      <c r="BA32" s="16">
        <v>1955745</v>
      </c>
      <c r="BB32" s="16">
        <v>2490118</v>
      </c>
    </row>
    <row r="33" spans="1:54" s="21" customFormat="1" ht="12.75" customHeight="1">
      <c r="A33" s="4" t="s">
        <v>6</v>
      </c>
      <c r="B33" s="5" t="s">
        <v>36</v>
      </c>
      <c r="C33" s="5"/>
      <c r="D33" s="5"/>
      <c r="F33" s="16">
        <v>42694078</v>
      </c>
      <c r="G33" s="16">
        <v>41092910</v>
      </c>
      <c r="H33" s="16">
        <v>40105854</v>
      </c>
      <c r="I33" s="16">
        <v>38251219</v>
      </c>
      <c r="J33" s="16">
        <v>38912714</v>
      </c>
      <c r="K33" s="16">
        <v>36319209</v>
      </c>
      <c r="L33" s="16">
        <v>35954498</v>
      </c>
      <c r="M33" s="16">
        <v>36009324</v>
      </c>
      <c r="N33" s="16">
        <v>35887658</v>
      </c>
      <c r="O33" s="16">
        <v>34375105</v>
      </c>
      <c r="P33" s="16">
        <v>34661323</v>
      </c>
      <c r="Q33" s="16">
        <v>33132463</v>
      </c>
      <c r="R33" s="16">
        <v>33964259</v>
      </c>
      <c r="S33" s="16">
        <v>33284854</v>
      </c>
      <c r="T33" s="16">
        <v>32509875</v>
      </c>
      <c r="U33" s="16">
        <v>33082762</v>
      </c>
      <c r="V33" s="16">
        <v>33681447</v>
      </c>
      <c r="W33" s="16">
        <v>32504053</v>
      </c>
      <c r="X33" s="16">
        <v>32836106</v>
      </c>
      <c r="Y33" s="16">
        <v>33079866</v>
      </c>
      <c r="Z33" s="16">
        <v>32288488</v>
      </c>
      <c r="AA33" s="16">
        <v>30976706</v>
      </c>
      <c r="AB33" s="16">
        <v>29731537</v>
      </c>
      <c r="AC33" s="16">
        <v>29122250</v>
      </c>
      <c r="AD33" s="16">
        <v>30705177</v>
      </c>
      <c r="AE33" s="16">
        <v>30420970</v>
      </c>
      <c r="AF33" s="16">
        <v>31227300</v>
      </c>
      <c r="AG33" s="16">
        <v>31947040</v>
      </c>
      <c r="AH33" s="16">
        <v>32901629</v>
      </c>
      <c r="AI33" s="16">
        <v>32942589</v>
      </c>
      <c r="AJ33" s="16">
        <v>32216825</v>
      </c>
      <c r="AK33" s="16">
        <v>30556805</v>
      </c>
      <c r="AL33" s="16">
        <v>30905724</v>
      </c>
      <c r="AM33" s="16">
        <v>28683125</v>
      </c>
      <c r="AN33" s="16">
        <v>28682213</v>
      </c>
      <c r="AO33" s="16">
        <v>27989032</v>
      </c>
      <c r="AP33" s="16">
        <v>28029033</v>
      </c>
      <c r="AQ33" s="16">
        <v>27140069</v>
      </c>
      <c r="AR33" s="16">
        <v>26668586</v>
      </c>
      <c r="AS33" s="16">
        <v>25551127</v>
      </c>
      <c r="AT33" s="16">
        <v>26513502</v>
      </c>
      <c r="AU33" s="16">
        <v>25715663</v>
      </c>
      <c r="AV33" s="16">
        <v>26132069</v>
      </c>
      <c r="AW33" s="16">
        <v>24734275</v>
      </c>
      <c r="AX33" s="16">
        <v>25482850</v>
      </c>
      <c r="AY33" s="16">
        <v>24299198</v>
      </c>
      <c r="AZ33" s="16">
        <v>24276742</v>
      </c>
      <c r="BA33" s="16">
        <v>23226235</v>
      </c>
      <c r="BB33" s="16">
        <v>23984084</v>
      </c>
    </row>
    <row r="34" spans="1:54" s="21" customFormat="1" ht="12.75" customHeight="1">
      <c r="A34" s="4" t="s">
        <v>8</v>
      </c>
      <c r="B34" s="5" t="s">
        <v>37</v>
      </c>
      <c r="C34" s="5"/>
      <c r="D34" s="5"/>
      <c r="F34" s="16">
        <v>7504019</v>
      </c>
      <c r="G34" s="16">
        <v>8147877</v>
      </c>
      <c r="H34" s="16">
        <v>8452606</v>
      </c>
      <c r="I34" s="16">
        <v>8280969</v>
      </c>
      <c r="J34" s="16">
        <v>8587243</v>
      </c>
      <c r="K34" s="16">
        <v>8845379</v>
      </c>
      <c r="L34" s="16">
        <v>9269179</v>
      </c>
      <c r="M34" s="16">
        <v>9835347</v>
      </c>
      <c r="N34" s="16">
        <v>10494565</v>
      </c>
      <c r="O34" s="16">
        <v>10908398</v>
      </c>
      <c r="P34" s="16">
        <v>10515755</v>
      </c>
      <c r="Q34" s="16">
        <v>11074649</v>
      </c>
      <c r="R34" s="16">
        <v>10518262</v>
      </c>
      <c r="S34" s="16">
        <v>11081692</v>
      </c>
      <c r="T34" s="16">
        <v>11106518</v>
      </c>
      <c r="U34" s="16">
        <v>10716050</v>
      </c>
      <c r="V34" s="16">
        <v>10186690</v>
      </c>
      <c r="W34" s="16">
        <v>9818702</v>
      </c>
      <c r="X34" s="16">
        <v>10204479</v>
      </c>
      <c r="Y34" s="16">
        <v>10802537</v>
      </c>
      <c r="Z34" s="16">
        <v>11047786</v>
      </c>
      <c r="AA34" s="16">
        <v>10876432</v>
      </c>
      <c r="AB34" s="16">
        <v>12229092</v>
      </c>
      <c r="AC34" s="16">
        <v>13536333</v>
      </c>
      <c r="AD34" s="16">
        <v>13759886</v>
      </c>
      <c r="AE34" s="16">
        <v>13201024</v>
      </c>
      <c r="AF34" s="16">
        <v>13377643</v>
      </c>
      <c r="AG34" s="16">
        <v>13149138</v>
      </c>
      <c r="AH34" s="16">
        <v>12686443</v>
      </c>
      <c r="AI34" s="16">
        <v>11893287</v>
      </c>
      <c r="AJ34" s="16">
        <v>12832741</v>
      </c>
      <c r="AK34" s="16">
        <v>13682526</v>
      </c>
      <c r="AL34" s="16">
        <v>14309263</v>
      </c>
      <c r="AM34" s="16">
        <v>15619998</v>
      </c>
      <c r="AN34" s="16">
        <v>15394369</v>
      </c>
      <c r="AO34" s="16">
        <v>15968641</v>
      </c>
      <c r="AP34" s="16">
        <v>15779492</v>
      </c>
      <c r="AQ34" s="16">
        <v>14710843</v>
      </c>
      <c r="AR34" s="16">
        <v>13525226</v>
      </c>
      <c r="AS34" s="16">
        <v>13476419</v>
      </c>
      <c r="AT34" s="16">
        <v>12496233</v>
      </c>
      <c r="AU34" s="16">
        <v>11710010</v>
      </c>
      <c r="AV34" s="16">
        <v>11252846</v>
      </c>
      <c r="AW34" s="16">
        <v>10995427</v>
      </c>
      <c r="AX34" s="16">
        <v>10504892</v>
      </c>
      <c r="AY34" s="16">
        <v>10474834</v>
      </c>
      <c r="AZ34" s="16">
        <v>10440893</v>
      </c>
      <c r="BA34" s="16">
        <v>10621122</v>
      </c>
      <c r="BB34" s="16">
        <v>9791326</v>
      </c>
    </row>
    <row r="35" spans="1:54" s="21" customFormat="1" ht="12.75" customHeight="1">
      <c r="A35" s="4" t="s">
        <v>9</v>
      </c>
      <c r="B35" s="17" t="s">
        <v>38</v>
      </c>
      <c r="C35" s="17"/>
      <c r="D35" s="17"/>
      <c r="F35" s="16">
        <v>169459</v>
      </c>
      <c r="G35" s="16">
        <v>242156</v>
      </c>
      <c r="H35" s="16">
        <v>194074</v>
      </c>
      <c r="I35" s="16">
        <v>319138</v>
      </c>
      <c r="J35" s="16">
        <v>226837</v>
      </c>
      <c r="K35" s="16">
        <v>264613</v>
      </c>
      <c r="L35" s="16">
        <v>271429</v>
      </c>
      <c r="M35" s="16">
        <v>259206</v>
      </c>
      <c r="N35" s="16">
        <v>242149</v>
      </c>
      <c r="O35" s="16">
        <v>262689</v>
      </c>
      <c r="P35" s="16">
        <v>252835</v>
      </c>
      <c r="Q35" s="16">
        <v>295376</v>
      </c>
      <c r="R35" s="16">
        <v>243210</v>
      </c>
      <c r="S35" s="16">
        <v>242324</v>
      </c>
      <c r="T35" s="16">
        <v>225570</v>
      </c>
      <c r="U35" s="16">
        <v>214552</v>
      </c>
      <c r="V35" s="16">
        <v>198059</v>
      </c>
      <c r="W35" s="16">
        <v>196530</v>
      </c>
      <c r="X35" s="16">
        <v>191908</v>
      </c>
      <c r="Y35" s="16">
        <v>211879</v>
      </c>
      <c r="Z35" s="16">
        <v>216864</v>
      </c>
      <c r="AA35" s="16">
        <v>223765</v>
      </c>
      <c r="AB35" s="16">
        <v>222409</v>
      </c>
      <c r="AC35" s="16">
        <v>196275</v>
      </c>
      <c r="AD35" s="16">
        <v>212733</v>
      </c>
      <c r="AE35" s="16">
        <v>194318</v>
      </c>
      <c r="AF35" s="16">
        <v>161281</v>
      </c>
      <c r="AG35" s="16">
        <v>201050</v>
      </c>
      <c r="AH35" s="16">
        <v>154738</v>
      </c>
      <c r="AI35" s="16">
        <v>182809</v>
      </c>
      <c r="AJ35" s="16">
        <v>197385</v>
      </c>
      <c r="AK35" s="16">
        <v>196892</v>
      </c>
      <c r="AL35" s="16">
        <v>121070</v>
      </c>
      <c r="AM35" s="16">
        <v>116200</v>
      </c>
      <c r="AN35" s="16">
        <v>108904</v>
      </c>
      <c r="AO35" s="16">
        <v>114347</v>
      </c>
      <c r="AP35" s="16">
        <v>72245</v>
      </c>
      <c r="AQ35" s="16">
        <v>46573</v>
      </c>
      <c r="AR35" s="16">
        <v>56779</v>
      </c>
      <c r="AS35" s="16">
        <v>53355</v>
      </c>
      <c r="AT35" s="16">
        <v>136966</v>
      </c>
      <c r="AU35" s="16">
        <v>133442</v>
      </c>
      <c r="AV35" s="16">
        <v>225139</v>
      </c>
      <c r="AW35" s="16">
        <v>132712</v>
      </c>
      <c r="AX35" s="16">
        <v>199690</v>
      </c>
      <c r="AY35" s="16">
        <v>133884</v>
      </c>
      <c r="AZ35" s="16">
        <v>137579</v>
      </c>
      <c r="BA35" s="16">
        <v>109319</v>
      </c>
      <c r="BB35" s="16">
        <v>103619</v>
      </c>
    </row>
    <row r="36" spans="1:54" s="21" customFormat="1" ht="12.75" customHeight="1">
      <c r="A36" s="4" t="s">
        <v>11</v>
      </c>
      <c r="B36" s="17" t="s">
        <v>113</v>
      </c>
      <c r="C36" s="17"/>
      <c r="D36" s="17"/>
      <c r="F36" s="16">
        <v>48320</v>
      </c>
      <c r="G36" s="16">
        <v>70515</v>
      </c>
      <c r="H36" s="16">
        <v>70016</v>
      </c>
      <c r="I36" s="16">
        <v>69591</v>
      </c>
      <c r="J36" s="16">
        <v>247933</v>
      </c>
      <c r="K36" s="16">
        <v>409037</v>
      </c>
      <c r="L36" s="16">
        <v>440975</v>
      </c>
      <c r="M36" s="16">
        <v>579399</v>
      </c>
      <c r="N36" s="16">
        <v>873558</v>
      </c>
      <c r="O36" s="16">
        <v>890720</v>
      </c>
      <c r="P36" s="16">
        <v>982518</v>
      </c>
      <c r="Q36" s="16">
        <v>1087772</v>
      </c>
      <c r="R36" s="16">
        <v>1700614</v>
      </c>
      <c r="S36" s="16">
        <v>1909806</v>
      </c>
      <c r="T36" s="16">
        <v>2096066</v>
      </c>
      <c r="U36" s="16">
        <v>2442213</v>
      </c>
      <c r="V36" s="16">
        <v>2952035</v>
      </c>
      <c r="W36" s="16">
        <v>3143502</v>
      </c>
      <c r="X36" s="16">
        <v>3211702</v>
      </c>
      <c r="Y36" s="16">
        <v>3525410</v>
      </c>
      <c r="Z36" s="16">
        <v>3865649</v>
      </c>
      <c r="AA36" s="16">
        <v>4137015</v>
      </c>
      <c r="AB36" s="16">
        <v>4175480</v>
      </c>
      <c r="AC36" s="16">
        <v>4277950</v>
      </c>
      <c r="AD36" s="16">
        <v>4115072</v>
      </c>
      <c r="AE36" s="16">
        <v>4013773</v>
      </c>
      <c r="AF36" s="16">
        <v>3978857</v>
      </c>
      <c r="AG36" s="16">
        <v>3764710</v>
      </c>
      <c r="AH36" s="16">
        <v>2695583</v>
      </c>
      <c r="AI36" s="16">
        <v>2597084</v>
      </c>
      <c r="AJ36" s="16">
        <v>2533439</v>
      </c>
      <c r="AK36" s="16">
        <v>2222096</v>
      </c>
      <c r="AL36" s="16">
        <v>1785656</v>
      </c>
      <c r="AM36" s="16">
        <v>1502747</v>
      </c>
      <c r="AN36" s="16">
        <v>1476448</v>
      </c>
      <c r="AO36" s="16">
        <v>1420849</v>
      </c>
      <c r="AP36" s="16">
        <v>1423947</v>
      </c>
      <c r="AQ36" s="16">
        <v>1041721</v>
      </c>
      <c r="AR36" s="16">
        <v>1088761</v>
      </c>
      <c r="AS36" s="16">
        <v>1161036</v>
      </c>
      <c r="AT36" s="16">
        <v>1125612</v>
      </c>
      <c r="AU36" s="16">
        <v>1133356</v>
      </c>
      <c r="AV36" s="16">
        <v>1197982</v>
      </c>
      <c r="AW36" s="16">
        <v>1307189</v>
      </c>
      <c r="AX36" s="16">
        <v>1377862</v>
      </c>
      <c r="AY36" s="16">
        <v>1403961</v>
      </c>
      <c r="AZ36" s="16">
        <v>1425903</v>
      </c>
      <c r="BA36" s="16">
        <v>1432585</v>
      </c>
      <c r="BB36" s="16">
        <v>1429680</v>
      </c>
    </row>
    <row r="37" spans="1:54" s="21" customFormat="1" ht="12.75" customHeight="1">
      <c r="A37" s="4" t="s">
        <v>13</v>
      </c>
      <c r="B37" s="5" t="s">
        <v>18</v>
      </c>
      <c r="C37" s="5"/>
      <c r="D37" s="5"/>
      <c r="F37" s="16">
        <v>24383</v>
      </c>
      <c r="G37" s="16">
        <v>24445</v>
      </c>
      <c r="H37" s="16">
        <v>38536</v>
      </c>
      <c r="I37" s="16">
        <v>42196</v>
      </c>
      <c r="J37" s="16">
        <v>40697</v>
      </c>
      <c r="K37" s="16">
        <v>48453</v>
      </c>
      <c r="L37" s="16">
        <v>42888</v>
      </c>
      <c r="M37" s="16">
        <v>31252</v>
      </c>
      <c r="N37" s="16">
        <v>23715</v>
      </c>
      <c r="O37" s="16">
        <v>21846</v>
      </c>
      <c r="P37" s="16">
        <v>32451</v>
      </c>
      <c r="Q37" s="16">
        <v>18718</v>
      </c>
      <c r="R37" s="16">
        <v>12986</v>
      </c>
      <c r="S37" s="16">
        <v>19199</v>
      </c>
      <c r="T37" s="16">
        <v>35834</v>
      </c>
      <c r="U37" s="16">
        <v>35573</v>
      </c>
      <c r="V37" s="16">
        <v>37825</v>
      </c>
      <c r="W37" s="16">
        <v>39920</v>
      </c>
      <c r="X37" s="16">
        <v>34357</v>
      </c>
      <c r="Y37" s="16">
        <v>40670</v>
      </c>
      <c r="Z37" s="16">
        <v>37661</v>
      </c>
      <c r="AA37" s="16">
        <v>39223</v>
      </c>
      <c r="AB37" s="16">
        <v>30153</v>
      </c>
      <c r="AC37" s="16">
        <v>31978</v>
      </c>
      <c r="AD37" s="16">
        <v>33336</v>
      </c>
      <c r="AE37" s="16">
        <v>28867</v>
      </c>
      <c r="AF37" s="16">
        <v>20541</v>
      </c>
      <c r="AG37" s="16">
        <v>21032</v>
      </c>
      <c r="AH37" s="16">
        <v>19098</v>
      </c>
      <c r="AI37" s="16">
        <v>18263</v>
      </c>
      <c r="AJ37" s="16">
        <v>14138</v>
      </c>
      <c r="AK37" s="16">
        <v>2</v>
      </c>
      <c r="AL37" s="16">
        <v>83164</v>
      </c>
      <c r="AM37" s="16">
        <v>124105</v>
      </c>
      <c r="AN37" s="16">
        <v>401220</v>
      </c>
      <c r="AO37" s="16">
        <v>409922</v>
      </c>
      <c r="AP37" s="16">
        <v>90286</v>
      </c>
      <c r="AQ37" s="16">
        <v>2669</v>
      </c>
      <c r="AR37" s="16">
        <v>197487</v>
      </c>
      <c r="AS37" s="16">
        <v>22855</v>
      </c>
      <c r="AT37" s="16">
        <v>0</v>
      </c>
      <c r="AU37" s="16">
        <v>0</v>
      </c>
      <c r="AV37" s="16">
        <v>0</v>
      </c>
      <c r="AW37" s="16">
        <v>0</v>
      </c>
      <c r="AX37" s="16">
        <v>0</v>
      </c>
      <c r="AY37" s="16">
        <v>0</v>
      </c>
      <c r="AZ37" s="16">
        <v>0</v>
      </c>
      <c r="BA37" s="16">
        <v>0</v>
      </c>
      <c r="BB37" s="16">
        <v>0</v>
      </c>
    </row>
    <row r="38" spans="1:54" s="21" customFormat="1" ht="12.75" customHeight="1">
      <c r="A38" s="4" t="s">
        <v>17</v>
      </c>
      <c r="B38" s="5" t="s">
        <v>39</v>
      </c>
      <c r="C38" s="5"/>
      <c r="D38" s="5"/>
      <c r="F38" s="16">
        <v>106218</v>
      </c>
      <c r="G38" s="16">
        <v>106289</v>
      </c>
      <c r="H38" s="16">
        <v>100509</v>
      </c>
      <c r="I38" s="16">
        <v>90479</v>
      </c>
      <c r="J38" s="16">
        <v>100992</v>
      </c>
      <c r="K38" s="16">
        <v>125683</v>
      </c>
      <c r="L38" s="16">
        <v>119846</v>
      </c>
      <c r="M38" s="16">
        <v>112903</v>
      </c>
      <c r="N38" s="16">
        <v>109013</v>
      </c>
      <c r="O38" s="16">
        <v>137420</v>
      </c>
      <c r="P38" s="16">
        <v>113299</v>
      </c>
      <c r="Q38" s="16">
        <v>148368</v>
      </c>
      <c r="R38" s="16">
        <v>118794</v>
      </c>
      <c r="S38" s="16">
        <v>198431</v>
      </c>
      <c r="T38" s="16">
        <v>167522</v>
      </c>
      <c r="U38" s="16">
        <v>214337</v>
      </c>
      <c r="V38" s="16">
        <v>134873</v>
      </c>
      <c r="W38" s="16">
        <v>165348</v>
      </c>
      <c r="X38" s="16">
        <v>175223</v>
      </c>
      <c r="Y38" s="16">
        <v>229073</v>
      </c>
      <c r="Z38" s="16">
        <v>169626</v>
      </c>
      <c r="AA38" s="16">
        <v>240102</v>
      </c>
      <c r="AB38" s="16">
        <v>127661</v>
      </c>
      <c r="AC38" s="16">
        <v>193571</v>
      </c>
      <c r="AD38" s="16">
        <v>100730</v>
      </c>
      <c r="AE38" s="16">
        <v>151367</v>
      </c>
      <c r="AF38" s="16">
        <v>87274</v>
      </c>
      <c r="AG38" s="16">
        <v>85086</v>
      </c>
      <c r="AH38" s="16">
        <f>+AH39+AH40</f>
        <v>57457</v>
      </c>
      <c r="AI38" s="16">
        <v>234781</v>
      </c>
      <c r="AJ38" s="16">
        <v>163753</v>
      </c>
      <c r="AK38" s="16">
        <v>361083</v>
      </c>
      <c r="AL38" s="16">
        <f>+AL39+AL40</f>
        <v>93167</v>
      </c>
      <c r="AM38" s="16">
        <v>277374</v>
      </c>
      <c r="AN38" s="16">
        <v>199166</v>
      </c>
      <c r="AO38" s="16">
        <v>454693</v>
      </c>
      <c r="AP38" s="16">
        <v>330314</v>
      </c>
      <c r="AQ38" s="16">
        <v>259578</v>
      </c>
      <c r="AR38" s="16">
        <v>185753</v>
      </c>
      <c r="AS38" s="16">
        <v>398368</v>
      </c>
      <c r="AT38" s="16">
        <v>363618</v>
      </c>
      <c r="AU38" s="16">
        <v>320577</v>
      </c>
      <c r="AV38" s="16">
        <v>245604</v>
      </c>
      <c r="AW38" s="16">
        <v>452344</v>
      </c>
      <c r="AX38" s="16">
        <v>375174</v>
      </c>
      <c r="AY38" s="16">
        <v>288950</v>
      </c>
      <c r="AZ38" s="16">
        <v>215299</v>
      </c>
      <c r="BA38" s="16">
        <v>417015</v>
      </c>
      <c r="BB38" s="16">
        <v>345564</v>
      </c>
    </row>
    <row r="39" spans="1:54" s="21" customFormat="1" ht="12.75" customHeight="1">
      <c r="A39" s="4"/>
      <c r="B39" s="5" t="s">
        <v>27</v>
      </c>
      <c r="C39" s="5"/>
      <c r="D39" s="5"/>
      <c r="F39" s="16">
        <v>2258</v>
      </c>
      <c r="G39" s="16">
        <v>2563</v>
      </c>
      <c r="H39" s="16">
        <v>2857</v>
      </c>
      <c r="I39" s="16">
        <v>2748</v>
      </c>
      <c r="J39" s="16">
        <v>1715</v>
      </c>
      <c r="K39" s="16">
        <v>2285</v>
      </c>
      <c r="L39" s="16">
        <v>4391</v>
      </c>
      <c r="M39" s="16">
        <v>0</v>
      </c>
      <c r="N39" s="16">
        <v>3911</v>
      </c>
      <c r="O39" s="16">
        <v>16953</v>
      </c>
      <c r="P39" s="16">
        <v>2641</v>
      </c>
      <c r="Q39" s="16">
        <v>6698</v>
      </c>
      <c r="R39" s="16">
        <v>5263</v>
      </c>
      <c r="S39" s="16">
        <v>31619</v>
      </c>
      <c r="T39" s="16">
        <v>5244</v>
      </c>
      <c r="U39" s="16">
        <v>67048</v>
      </c>
      <c r="V39" s="16">
        <v>12405</v>
      </c>
      <c r="W39" s="16">
        <v>57820</v>
      </c>
      <c r="X39" s="16">
        <v>73739</v>
      </c>
      <c r="Y39" s="16">
        <v>88866</v>
      </c>
      <c r="Z39" s="16">
        <v>46426</v>
      </c>
      <c r="AA39" s="16">
        <v>135166</v>
      </c>
      <c r="AB39" s="16">
        <v>58246</v>
      </c>
      <c r="AC39" s="16">
        <v>117436</v>
      </c>
      <c r="AD39" s="16">
        <v>41067</v>
      </c>
      <c r="AE39" s="16">
        <v>94221</v>
      </c>
      <c r="AF39" s="16">
        <v>36007</v>
      </c>
      <c r="AG39" s="16">
        <v>35982</v>
      </c>
      <c r="AH39" s="16">
        <v>6460</v>
      </c>
      <c r="AI39" s="16">
        <v>182629</v>
      </c>
      <c r="AJ39" s="16">
        <v>115987</v>
      </c>
      <c r="AK39" s="16">
        <v>311556</v>
      </c>
      <c r="AL39" s="16">
        <f>274644-228961</f>
        <v>45683</v>
      </c>
      <c r="AM39" s="16">
        <v>228792</v>
      </c>
      <c r="AN39" s="16">
        <v>151090</v>
      </c>
      <c r="AO39" s="16">
        <v>407093</v>
      </c>
      <c r="AP39" s="16">
        <v>282038</v>
      </c>
      <c r="AQ39" s="16">
        <v>219598</v>
      </c>
      <c r="AR39" s="16">
        <v>145942</v>
      </c>
      <c r="AS39" s="16">
        <v>352740</v>
      </c>
      <c r="AT39" s="16">
        <v>315160</v>
      </c>
      <c r="AU39" s="16">
        <v>261564</v>
      </c>
      <c r="AV39" s="16">
        <v>181909</v>
      </c>
      <c r="AW39" s="16">
        <v>377391</v>
      </c>
      <c r="AX39" s="16">
        <v>299382</v>
      </c>
      <c r="AY39" s="16">
        <v>217038</v>
      </c>
      <c r="AZ39" s="16">
        <v>139854</v>
      </c>
      <c r="BA39" s="16">
        <v>328912</v>
      </c>
      <c r="BB39" s="16">
        <v>270155</v>
      </c>
    </row>
    <row r="40" spans="1:54" s="21" customFormat="1" ht="12.75" customHeight="1">
      <c r="A40" s="4"/>
      <c r="B40" s="5" t="s">
        <v>40</v>
      </c>
      <c r="C40" s="5"/>
      <c r="D40" s="5"/>
      <c r="F40" s="16">
        <v>103960</v>
      </c>
      <c r="G40" s="16">
        <v>103726</v>
      </c>
      <c r="H40" s="16">
        <v>97652</v>
      </c>
      <c r="I40" s="16">
        <v>87731</v>
      </c>
      <c r="J40" s="16">
        <v>99277</v>
      </c>
      <c r="K40" s="16">
        <v>123398</v>
      </c>
      <c r="L40" s="16">
        <v>115455</v>
      </c>
      <c r="M40" s="16">
        <v>112903</v>
      </c>
      <c r="N40" s="16">
        <v>105102</v>
      </c>
      <c r="O40" s="16">
        <v>120467</v>
      </c>
      <c r="P40" s="16">
        <v>110658</v>
      </c>
      <c r="Q40" s="16">
        <v>141670</v>
      </c>
      <c r="R40" s="16">
        <v>113531</v>
      </c>
      <c r="S40" s="16">
        <v>166812</v>
      </c>
      <c r="T40" s="16">
        <v>162278</v>
      </c>
      <c r="U40" s="16">
        <v>147289</v>
      </c>
      <c r="V40" s="16">
        <v>122468</v>
      </c>
      <c r="W40" s="16">
        <v>107528</v>
      </c>
      <c r="X40" s="16">
        <v>101484</v>
      </c>
      <c r="Y40" s="16">
        <v>140207</v>
      </c>
      <c r="Z40" s="16">
        <v>123200</v>
      </c>
      <c r="AA40" s="16">
        <v>104936</v>
      </c>
      <c r="AB40" s="16">
        <v>69415</v>
      </c>
      <c r="AC40" s="16">
        <v>76135</v>
      </c>
      <c r="AD40" s="16">
        <v>59663</v>
      </c>
      <c r="AE40" s="16">
        <v>57146</v>
      </c>
      <c r="AF40" s="16">
        <v>51267</v>
      </c>
      <c r="AG40" s="16">
        <v>49104</v>
      </c>
      <c r="AH40" s="16">
        <v>50997</v>
      </c>
      <c r="AI40" s="16">
        <v>52152</v>
      </c>
      <c r="AJ40" s="16">
        <v>47766</v>
      </c>
      <c r="AK40" s="16">
        <v>49527</v>
      </c>
      <c r="AL40" s="16">
        <v>47484</v>
      </c>
      <c r="AM40" s="16">
        <v>48582</v>
      </c>
      <c r="AN40" s="16">
        <v>48076</v>
      </c>
      <c r="AO40" s="16">
        <v>47600</v>
      </c>
      <c r="AP40" s="16">
        <v>48276</v>
      </c>
      <c r="AQ40" s="16">
        <v>39980</v>
      </c>
      <c r="AR40" s="16">
        <v>39811</v>
      </c>
      <c r="AS40" s="16">
        <v>45628</v>
      </c>
      <c r="AT40" s="16">
        <v>48458</v>
      </c>
      <c r="AU40" s="16">
        <v>59013</v>
      </c>
      <c r="AV40" s="16">
        <v>63695</v>
      </c>
      <c r="AW40" s="16">
        <v>74953</v>
      </c>
      <c r="AX40" s="16">
        <v>75792</v>
      </c>
      <c r="AY40" s="16">
        <v>71912</v>
      </c>
      <c r="AZ40" s="16">
        <v>75445</v>
      </c>
      <c r="BA40" s="16">
        <v>88103</v>
      </c>
      <c r="BB40" s="16">
        <v>75409</v>
      </c>
    </row>
    <row r="41" spans="1:54" s="21" customFormat="1" ht="12.75" customHeight="1">
      <c r="A41" s="4" t="s">
        <v>41</v>
      </c>
      <c r="B41" s="5" t="s">
        <v>42</v>
      </c>
      <c r="C41" s="5"/>
      <c r="D41" s="5"/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Y41" s="6">
        <v>0</v>
      </c>
      <c r="Z41" s="6">
        <v>8800</v>
      </c>
      <c r="AA41" s="6">
        <v>38112</v>
      </c>
      <c r="AB41" s="6">
        <v>36203</v>
      </c>
      <c r="AC41" s="6">
        <v>36203</v>
      </c>
      <c r="AD41" s="6">
        <v>36203</v>
      </c>
      <c r="AE41" s="6">
        <v>39061</v>
      </c>
      <c r="AF41" s="6">
        <v>41983</v>
      </c>
      <c r="AG41" s="6">
        <v>1893</v>
      </c>
      <c r="AH41" s="6">
        <v>98326</v>
      </c>
      <c r="AI41" s="6">
        <v>119404</v>
      </c>
      <c r="AJ41" s="6">
        <v>0</v>
      </c>
      <c r="AK41" s="6">
        <v>3668879</v>
      </c>
      <c r="AL41" s="6">
        <v>3687693</v>
      </c>
      <c r="AM41" s="6">
        <v>3440122</v>
      </c>
      <c r="AN41" s="6">
        <v>3465989</v>
      </c>
      <c r="AO41" s="6">
        <v>27</v>
      </c>
      <c r="AP41" s="6">
        <v>0</v>
      </c>
      <c r="AQ41" s="6">
        <v>0</v>
      </c>
      <c r="AR41" s="6">
        <v>0</v>
      </c>
      <c r="AS41" s="6">
        <v>0</v>
      </c>
      <c r="AT41" s="6">
        <v>0</v>
      </c>
      <c r="AU41" s="6">
        <v>0</v>
      </c>
      <c r="AV41" s="6">
        <v>0</v>
      </c>
      <c r="AW41" s="6">
        <v>0</v>
      </c>
      <c r="AX41" s="6">
        <v>0</v>
      </c>
      <c r="AY41" s="6">
        <v>0</v>
      </c>
      <c r="AZ41" s="6">
        <v>107081</v>
      </c>
      <c r="BA41" s="6">
        <v>0</v>
      </c>
      <c r="BB41" s="6">
        <v>0</v>
      </c>
    </row>
    <row r="42" spans="1:54" s="21" customFormat="1" ht="12.75" customHeight="1">
      <c r="A42" s="4" t="s">
        <v>19</v>
      </c>
      <c r="B42" s="5" t="s">
        <v>43</v>
      </c>
      <c r="C42" s="5"/>
      <c r="D42" s="5"/>
      <c r="F42" s="16">
        <v>1463452</v>
      </c>
      <c r="G42" s="16">
        <v>1493556</v>
      </c>
      <c r="H42" s="16">
        <v>2679904</v>
      </c>
      <c r="I42" s="16">
        <v>1813132</v>
      </c>
      <c r="J42" s="16">
        <v>1197062</v>
      </c>
      <c r="K42" s="16">
        <v>1910632</v>
      </c>
      <c r="L42" s="16">
        <v>1964342</v>
      </c>
      <c r="M42" s="16">
        <v>1745558</v>
      </c>
      <c r="N42" s="16">
        <v>1844715</v>
      </c>
      <c r="O42" s="16">
        <v>2010975</v>
      </c>
      <c r="P42" s="16">
        <v>2061161</v>
      </c>
      <c r="Q42" s="16">
        <v>1802891</v>
      </c>
      <c r="R42" s="16">
        <v>1527412</v>
      </c>
      <c r="S42" s="16">
        <v>2197885</v>
      </c>
      <c r="T42" s="16">
        <v>2150531</v>
      </c>
      <c r="U42" s="16">
        <v>1938832</v>
      </c>
      <c r="V42" s="16">
        <v>1520458</v>
      </c>
      <c r="W42" s="16">
        <v>2352135</v>
      </c>
      <c r="X42" s="16">
        <v>1574376</v>
      </c>
      <c r="Y42" s="16">
        <v>1427214</v>
      </c>
      <c r="Z42" s="16">
        <v>1465718</v>
      </c>
      <c r="AA42" s="16">
        <v>1262963</v>
      </c>
      <c r="AB42" s="16">
        <v>1166309</v>
      </c>
      <c r="AC42" s="16">
        <v>1088536</v>
      </c>
      <c r="AD42" s="16">
        <v>1092968</v>
      </c>
      <c r="AE42" s="16">
        <v>2107772</v>
      </c>
      <c r="AF42" s="16">
        <v>2177252</v>
      </c>
      <c r="AG42" s="16">
        <v>2134951</v>
      </c>
      <c r="AH42" s="16">
        <v>1261260</v>
      </c>
      <c r="AI42" s="16">
        <v>2205904</v>
      </c>
      <c r="AJ42" s="16">
        <v>1646941</v>
      </c>
      <c r="AK42" s="16">
        <v>1375535</v>
      </c>
      <c r="AL42" s="16">
        <v>1395299</v>
      </c>
      <c r="AM42" s="16">
        <v>1464872</v>
      </c>
      <c r="AN42" s="16">
        <v>1522892</v>
      </c>
      <c r="AO42" s="16">
        <v>1448244</v>
      </c>
      <c r="AP42" s="16">
        <v>1356103</v>
      </c>
      <c r="AQ42" s="16">
        <v>1488702</v>
      </c>
      <c r="AR42" s="16">
        <v>1547909</v>
      </c>
      <c r="AS42" s="16">
        <v>1393296</v>
      </c>
      <c r="AT42" s="16">
        <v>1323256</v>
      </c>
      <c r="AU42" s="16">
        <v>1134378</v>
      </c>
      <c r="AV42" s="16">
        <v>1385191</v>
      </c>
      <c r="AW42" s="16">
        <v>1134091</v>
      </c>
      <c r="AX42" s="16">
        <v>1151227</v>
      </c>
      <c r="AY42" s="16">
        <v>1141798</v>
      </c>
      <c r="AZ42" s="16">
        <v>1654490</v>
      </c>
      <c r="BA42" s="16">
        <v>1284073</v>
      </c>
      <c r="BB42" s="16">
        <v>1442437</v>
      </c>
    </row>
    <row r="43" spans="1:54" s="21" customFormat="1" ht="12.75" customHeight="1">
      <c r="A43" s="4" t="s">
        <v>44</v>
      </c>
      <c r="B43" s="5" t="s">
        <v>45</v>
      </c>
      <c r="C43" s="5"/>
      <c r="D43" s="5"/>
      <c r="F43" s="16">
        <v>187536</v>
      </c>
      <c r="G43" s="16">
        <v>192081</v>
      </c>
      <c r="H43" s="16">
        <v>198550</v>
      </c>
      <c r="I43" s="16">
        <v>184950</v>
      </c>
      <c r="J43" s="16">
        <v>205364</v>
      </c>
      <c r="K43" s="16">
        <v>210076</v>
      </c>
      <c r="L43" s="16">
        <v>209736</v>
      </c>
      <c r="M43" s="16">
        <v>202019</v>
      </c>
      <c r="N43" s="16">
        <v>200669</v>
      </c>
      <c r="O43" s="16">
        <v>200289</v>
      </c>
      <c r="P43" s="16">
        <v>206592</v>
      </c>
      <c r="Q43" s="16">
        <v>215834</v>
      </c>
      <c r="R43" s="16">
        <v>221919</v>
      </c>
      <c r="S43" s="16">
        <v>227943</v>
      </c>
      <c r="T43" s="16">
        <v>221914</v>
      </c>
      <c r="U43" s="16">
        <v>208040</v>
      </c>
      <c r="V43" s="16">
        <v>208390</v>
      </c>
      <c r="W43" s="16">
        <v>206888</v>
      </c>
      <c r="X43" s="16">
        <v>213331</v>
      </c>
      <c r="Y43" s="16">
        <v>232904</v>
      </c>
      <c r="Z43" s="16">
        <v>223324</v>
      </c>
      <c r="AA43" s="16">
        <v>212319</v>
      </c>
      <c r="AB43" s="16">
        <v>211201</v>
      </c>
      <c r="AC43" s="16">
        <v>204920</v>
      </c>
      <c r="AD43" s="16">
        <v>207585</v>
      </c>
      <c r="AE43" s="16">
        <v>210319</v>
      </c>
      <c r="AF43" s="16">
        <v>212817</v>
      </c>
      <c r="AG43" s="16">
        <v>211841</v>
      </c>
      <c r="AH43" s="16">
        <v>218200</v>
      </c>
      <c r="AI43" s="16">
        <v>232733</v>
      </c>
      <c r="AJ43" s="16">
        <v>231826</v>
      </c>
      <c r="AK43" s="16">
        <v>229006</v>
      </c>
      <c r="AL43" s="16">
        <v>229751</v>
      </c>
      <c r="AM43" s="16">
        <v>224394</v>
      </c>
      <c r="AN43" s="16">
        <v>228745</v>
      </c>
      <c r="AO43" s="16">
        <v>241259</v>
      </c>
      <c r="AP43" s="16">
        <v>233972</v>
      </c>
      <c r="AQ43" s="16">
        <v>222959</v>
      </c>
      <c r="AR43" s="16">
        <v>226197</v>
      </c>
      <c r="AS43" s="16">
        <v>232079</v>
      </c>
      <c r="AT43" s="16">
        <v>232696</v>
      </c>
      <c r="AU43" s="16">
        <v>232457</v>
      </c>
      <c r="AV43" s="16">
        <v>232982</v>
      </c>
      <c r="AW43" s="16">
        <v>271913</v>
      </c>
      <c r="AX43" s="16">
        <v>271029</v>
      </c>
      <c r="AY43" s="16">
        <v>267156</v>
      </c>
      <c r="AZ43" s="16">
        <v>267032</v>
      </c>
      <c r="BA43" s="16">
        <v>284834</v>
      </c>
      <c r="BB43" s="16">
        <v>282716</v>
      </c>
    </row>
    <row r="44" spans="1:54" s="21" customFormat="1" ht="12.75" customHeight="1">
      <c r="A44" s="4" t="s">
        <v>21</v>
      </c>
      <c r="B44" s="5" t="s">
        <v>46</v>
      </c>
      <c r="C44" s="5"/>
      <c r="D44" s="5"/>
      <c r="F44" s="16">
        <v>440385</v>
      </c>
      <c r="G44" s="16">
        <v>487807</v>
      </c>
      <c r="H44" s="16">
        <v>512124</v>
      </c>
      <c r="I44" s="16">
        <v>408409</v>
      </c>
      <c r="J44" s="16">
        <v>422791</v>
      </c>
      <c r="K44" s="16">
        <v>428347</v>
      </c>
      <c r="L44" s="16">
        <v>429549</v>
      </c>
      <c r="M44" s="16">
        <v>430627</v>
      </c>
      <c r="N44" s="16">
        <v>410399</v>
      </c>
      <c r="O44" s="16">
        <v>406206</v>
      </c>
      <c r="P44" s="16">
        <v>349948</v>
      </c>
      <c r="Q44" s="16">
        <v>366990</v>
      </c>
      <c r="R44" s="16">
        <v>355775</v>
      </c>
      <c r="S44" s="16">
        <v>329191</v>
      </c>
      <c r="T44" s="16">
        <v>323424</v>
      </c>
      <c r="U44" s="16">
        <v>316864</v>
      </c>
      <c r="V44" s="16">
        <v>305796</v>
      </c>
      <c r="W44" s="16">
        <v>279419</v>
      </c>
      <c r="X44" s="16">
        <v>293763</v>
      </c>
      <c r="Y44" s="16">
        <v>287464</v>
      </c>
      <c r="Z44" s="16">
        <v>281329</v>
      </c>
      <c r="AA44" s="16">
        <v>430273</v>
      </c>
      <c r="AB44" s="16">
        <v>398412</v>
      </c>
      <c r="AC44" s="16">
        <v>371442</v>
      </c>
      <c r="AD44" s="16">
        <v>367083</v>
      </c>
      <c r="AE44" s="16">
        <v>371347</v>
      </c>
      <c r="AF44" s="16">
        <v>376410</v>
      </c>
      <c r="AG44" s="16">
        <v>363632</v>
      </c>
      <c r="AH44" s="16">
        <f>+AH45+AH46</f>
        <v>363433</v>
      </c>
      <c r="AI44" s="16">
        <v>356796</v>
      </c>
      <c r="AJ44" s="16">
        <v>360890</v>
      </c>
      <c r="AK44" s="16">
        <v>338472</v>
      </c>
      <c r="AL44" s="16">
        <v>338205</v>
      </c>
      <c r="AM44" s="16">
        <v>313886</v>
      </c>
      <c r="AN44" s="16">
        <v>337834</v>
      </c>
      <c r="AO44" s="16">
        <v>330319</v>
      </c>
      <c r="AP44" s="16">
        <v>338040</v>
      </c>
      <c r="AQ44" s="16">
        <v>337232</v>
      </c>
      <c r="AR44" s="16">
        <v>326751</v>
      </c>
      <c r="AS44" s="16">
        <v>316231</v>
      </c>
      <c r="AT44" s="16">
        <v>315729</v>
      </c>
      <c r="AU44" s="16">
        <v>343183</v>
      </c>
      <c r="AV44" s="16">
        <v>338852</v>
      </c>
      <c r="AW44" s="16">
        <v>332950</v>
      </c>
      <c r="AX44" s="16">
        <v>327537</v>
      </c>
      <c r="AY44" s="16">
        <v>270948</v>
      </c>
      <c r="AZ44" s="16">
        <v>268339</v>
      </c>
      <c r="BA44" s="16">
        <v>286610</v>
      </c>
      <c r="BB44" s="16">
        <v>277480</v>
      </c>
    </row>
    <row r="45" spans="1:54" s="21" customFormat="1" ht="12.75" customHeight="1">
      <c r="A45" s="4"/>
      <c r="B45" s="5" t="s">
        <v>47</v>
      </c>
      <c r="C45" s="5"/>
      <c r="D45" s="5"/>
      <c r="E45" s="5"/>
      <c r="F45" s="87">
        <v>137148</v>
      </c>
      <c r="G45" s="87">
        <v>132636</v>
      </c>
      <c r="H45" s="87">
        <v>132146</v>
      </c>
      <c r="I45" s="87">
        <v>133956</v>
      </c>
      <c r="J45" s="87">
        <v>136409</v>
      </c>
      <c r="K45" s="87">
        <v>146321</v>
      </c>
      <c r="L45" s="87">
        <v>143415</v>
      </c>
      <c r="M45" s="87">
        <v>134474</v>
      </c>
      <c r="N45" s="87">
        <v>124500</v>
      </c>
      <c r="O45" s="87">
        <v>125645</v>
      </c>
      <c r="P45" s="87">
        <v>127258</v>
      </c>
      <c r="Q45" s="87">
        <v>146205</v>
      </c>
      <c r="R45" s="87">
        <v>145078</v>
      </c>
      <c r="S45" s="87">
        <v>143663</v>
      </c>
      <c r="T45" s="87">
        <v>141420</v>
      </c>
      <c r="U45" s="87">
        <v>129498</v>
      </c>
      <c r="V45" s="87">
        <v>120859</v>
      </c>
      <c r="W45" s="87">
        <v>107063</v>
      </c>
      <c r="X45" s="87">
        <v>106447</v>
      </c>
      <c r="Y45" s="87">
        <v>113790</v>
      </c>
      <c r="Z45" s="87">
        <v>104833</v>
      </c>
      <c r="AA45" s="87">
        <v>253090</v>
      </c>
      <c r="AB45" s="87">
        <v>249616</v>
      </c>
      <c r="AC45" s="87">
        <v>225109</v>
      </c>
      <c r="AD45" s="87">
        <v>227946</v>
      </c>
      <c r="AE45" s="87">
        <v>225729</v>
      </c>
      <c r="AF45" s="87">
        <v>225261</v>
      </c>
      <c r="AG45" s="87">
        <v>217732</v>
      </c>
      <c r="AH45" s="87">
        <v>216577</v>
      </c>
      <c r="AI45" s="87">
        <v>211839</v>
      </c>
      <c r="AJ45" s="87">
        <v>211220</v>
      </c>
      <c r="AK45" s="87">
        <v>195193</v>
      </c>
      <c r="AL45" s="87">
        <v>194010</v>
      </c>
      <c r="AM45" s="87">
        <v>165115</v>
      </c>
      <c r="AN45" s="87">
        <v>175435</v>
      </c>
      <c r="AO45" s="87">
        <v>166586</v>
      </c>
      <c r="AP45" s="87">
        <v>167583</v>
      </c>
      <c r="AQ45" s="87">
        <v>176708</v>
      </c>
      <c r="AR45" s="87">
        <v>173920</v>
      </c>
      <c r="AS45" s="87">
        <v>167729</v>
      </c>
      <c r="AT45" s="87">
        <v>167643</v>
      </c>
      <c r="AU45" s="87">
        <v>165194</v>
      </c>
      <c r="AV45" s="87">
        <v>165265</v>
      </c>
      <c r="AW45" s="87">
        <v>161616</v>
      </c>
      <c r="AX45" s="87">
        <v>159416</v>
      </c>
      <c r="AY45" s="87">
        <v>135853</v>
      </c>
      <c r="AZ45" s="87">
        <v>136979</v>
      </c>
      <c r="BA45" s="87">
        <v>148067</v>
      </c>
      <c r="BB45" s="87">
        <v>144112</v>
      </c>
    </row>
    <row r="46" spans="1:54" s="21" customFormat="1" ht="12.75" customHeight="1">
      <c r="A46" s="4"/>
      <c r="B46" s="5" t="s">
        <v>48</v>
      </c>
      <c r="C46" s="5"/>
      <c r="D46" s="5"/>
      <c r="E46" s="5"/>
      <c r="F46" s="87">
        <v>303237</v>
      </c>
      <c r="G46" s="87">
        <v>355171</v>
      </c>
      <c r="H46" s="87">
        <v>379978</v>
      </c>
      <c r="I46" s="87">
        <v>274453</v>
      </c>
      <c r="J46" s="87">
        <v>286382</v>
      </c>
      <c r="K46" s="87">
        <v>282026</v>
      </c>
      <c r="L46" s="87">
        <v>286134</v>
      </c>
      <c r="M46" s="87">
        <v>296153</v>
      </c>
      <c r="N46" s="87">
        <v>285899</v>
      </c>
      <c r="O46" s="87">
        <v>280561</v>
      </c>
      <c r="P46" s="87">
        <v>222690</v>
      </c>
      <c r="Q46" s="87">
        <v>220785</v>
      </c>
      <c r="R46" s="87">
        <v>210697</v>
      </c>
      <c r="S46" s="87">
        <v>185528</v>
      </c>
      <c r="T46" s="87">
        <v>182004</v>
      </c>
      <c r="U46" s="87">
        <v>187366</v>
      </c>
      <c r="V46" s="87">
        <v>184937</v>
      </c>
      <c r="W46" s="87">
        <v>172356</v>
      </c>
      <c r="X46" s="87">
        <v>187316</v>
      </c>
      <c r="Y46" s="87">
        <v>173674</v>
      </c>
      <c r="Z46" s="87">
        <v>176496</v>
      </c>
      <c r="AA46" s="87">
        <v>177183</v>
      </c>
      <c r="AB46" s="87">
        <v>148796</v>
      </c>
      <c r="AC46" s="87">
        <v>146333</v>
      </c>
      <c r="AD46" s="87">
        <v>139137</v>
      </c>
      <c r="AE46" s="87">
        <v>145618</v>
      </c>
      <c r="AF46" s="87">
        <v>151149</v>
      </c>
      <c r="AG46" s="87">
        <v>145900</v>
      </c>
      <c r="AH46" s="87">
        <v>146856</v>
      </c>
      <c r="AI46" s="87">
        <v>144957</v>
      </c>
      <c r="AJ46" s="87">
        <v>149670</v>
      </c>
      <c r="AK46" s="87">
        <v>143279</v>
      </c>
      <c r="AL46" s="87">
        <v>144195</v>
      </c>
      <c r="AM46" s="87">
        <v>148771</v>
      </c>
      <c r="AN46" s="87">
        <v>162399</v>
      </c>
      <c r="AO46" s="87">
        <v>163733</v>
      </c>
      <c r="AP46" s="87">
        <v>170457</v>
      </c>
      <c r="AQ46" s="87">
        <v>160524</v>
      </c>
      <c r="AR46" s="87">
        <v>152831</v>
      </c>
      <c r="AS46" s="87">
        <v>148502</v>
      </c>
      <c r="AT46" s="87">
        <v>148086</v>
      </c>
      <c r="AU46" s="87">
        <v>177989</v>
      </c>
      <c r="AV46" s="87">
        <v>173587</v>
      </c>
      <c r="AW46" s="87">
        <v>171334</v>
      </c>
      <c r="AX46" s="87">
        <v>168121</v>
      </c>
      <c r="AY46" s="87">
        <v>135095</v>
      </c>
      <c r="AZ46" s="87">
        <v>131360</v>
      </c>
      <c r="BA46" s="87">
        <v>138543</v>
      </c>
      <c r="BB46" s="87">
        <v>133368</v>
      </c>
    </row>
    <row r="47" spans="1:54" s="21" customFormat="1" ht="12.75" customHeight="1">
      <c r="A47" s="4" t="s">
        <v>25</v>
      </c>
      <c r="B47" s="5" t="s">
        <v>49</v>
      </c>
      <c r="C47" s="5"/>
      <c r="D47" s="5"/>
      <c r="F47" s="16">
        <v>110558</v>
      </c>
      <c r="G47" s="16">
        <v>106658</v>
      </c>
      <c r="H47" s="16">
        <v>85263</v>
      </c>
      <c r="I47" s="16">
        <v>57758</v>
      </c>
      <c r="J47" s="16">
        <v>89951</v>
      </c>
      <c r="K47" s="16">
        <v>160714</v>
      </c>
      <c r="L47" s="16">
        <v>148121</v>
      </c>
      <c r="M47" s="16">
        <v>159450</v>
      </c>
      <c r="N47" s="16">
        <v>148982</v>
      </c>
      <c r="O47" s="16">
        <v>352935</v>
      </c>
      <c r="P47" s="16">
        <v>304482</v>
      </c>
      <c r="Q47" s="16">
        <v>243314</v>
      </c>
      <c r="R47" s="16">
        <v>186840</v>
      </c>
      <c r="S47" s="16">
        <v>176205</v>
      </c>
      <c r="T47" s="16">
        <v>164559</v>
      </c>
      <c r="U47" s="16">
        <v>158643</v>
      </c>
      <c r="V47" s="16">
        <v>139472</v>
      </c>
      <c r="W47" s="16">
        <v>118263</v>
      </c>
      <c r="X47" s="16">
        <v>113860</v>
      </c>
      <c r="Y47" s="16">
        <v>161713</v>
      </c>
      <c r="Z47" s="16">
        <v>199447</v>
      </c>
      <c r="AA47" s="16">
        <v>184090</v>
      </c>
      <c r="AB47" s="16">
        <v>99917</v>
      </c>
      <c r="AC47" s="16">
        <v>142345</v>
      </c>
      <c r="AD47" s="16">
        <v>49349</v>
      </c>
      <c r="AE47" s="16">
        <v>97795</v>
      </c>
      <c r="AF47" s="16">
        <v>149671</v>
      </c>
      <c r="AG47" s="16">
        <v>174559</v>
      </c>
      <c r="AH47" s="16">
        <v>161824</v>
      </c>
      <c r="AI47" s="16">
        <v>183771</v>
      </c>
      <c r="AJ47" s="16">
        <v>178472</v>
      </c>
      <c r="AK47" s="16">
        <v>213547</v>
      </c>
      <c r="AL47" s="16">
        <v>200115</v>
      </c>
      <c r="AM47" s="16">
        <v>220762</v>
      </c>
      <c r="AN47" s="16">
        <v>222942</v>
      </c>
      <c r="AO47" s="16">
        <v>187510</v>
      </c>
      <c r="AP47" s="16">
        <v>164769</v>
      </c>
      <c r="AQ47" s="16">
        <v>123565</v>
      </c>
      <c r="AR47" s="16">
        <v>149238</v>
      </c>
      <c r="AS47" s="16">
        <v>143950</v>
      </c>
      <c r="AT47" s="16">
        <v>220052</v>
      </c>
      <c r="AU47" s="16">
        <v>244204</v>
      </c>
      <c r="AV47" s="16">
        <v>300490</v>
      </c>
      <c r="AW47" s="16">
        <v>465092</v>
      </c>
      <c r="AX47" s="16">
        <v>448391</v>
      </c>
      <c r="AY47" s="16">
        <v>411408</v>
      </c>
      <c r="AZ47" s="16">
        <v>400918</v>
      </c>
      <c r="BA47" s="16">
        <v>515354</v>
      </c>
      <c r="BB47" s="16">
        <v>402860</v>
      </c>
    </row>
    <row r="48" spans="1:54" s="21" customFormat="1" ht="12.75" customHeight="1">
      <c r="A48" s="4" t="s">
        <v>31</v>
      </c>
      <c r="B48" s="5" t="s">
        <v>288</v>
      </c>
      <c r="C48" s="5"/>
      <c r="D48" s="5"/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6">
        <v>0</v>
      </c>
      <c r="AA48" s="6">
        <v>0</v>
      </c>
      <c r="AB48" s="6">
        <v>0</v>
      </c>
      <c r="AC48" s="6">
        <v>0</v>
      </c>
      <c r="AD48" s="6">
        <v>0</v>
      </c>
      <c r="AE48" s="6">
        <v>0</v>
      </c>
      <c r="AF48" s="6">
        <v>0</v>
      </c>
      <c r="AG48" s="6">
        <v>0</v>
      </c>
      <c r="AH48" s="6">
        <v>0</v>
      </c>
      <c r="AI48" s="6">
        <v>0</v>
      </c>
      <c r="AJ48" s="6">
        <v>0</v>
      </c>
      <c r="AK48" s="6">
        <v>0</v>
      </c>
      <c r="AL48" s="6">
        <v>0</v>
      </c>
      <c r="AM48" s="6">
        <v>0</v>
      </c>
      <c r="AN48" s="6">
        <v>0</v>
      </c>
      <c r="AO48" s="6">
        <v>0</v>
      </c>
      <c r="AP48" s="6">
        <v>0</v>
      </c>
      <c r="AQ48" s="6">
        <v>0</v>
      </c>
      <c r="AR48" s="6">
        <v>0</v>
      </c>
      <c r="AS48" s="6">
        <v>0</v>
      </c>
      <c r="AT48" s="6">
        <v>0</v>
      </c>
      <c r="AU48" s="6">
        <v>22749</v>
      </c>
      <c r="AV48" s="6">
        <v>23367</v>
      </c>
      <c r="AW48" s="6">
        <v>23987</v>
      </c>
      <c r="AX48" s="6">
        <v>24121</v>
      </c>
      <c r="AY48" s="6">
        <v>32185</v>
      </c>
      <c r="AZ48" s="6">
        <v>32217</v>
      </c>
      <c r="BA48" s="6">
        <v>30054</v>
      </c>
      <c r="BB48" s="6">
        <v>30634</v>
      </c>
    </row>
    <row r="49" spans="1:54" s="21" customFormat="1" ht="12.75" customHeight="1">
      <c r="A49" s="4" t="s">
        <v>50</v>
      </c>
      <c r="B49" s="5" t="s">
        <v>51</v>
      </c>
      <c r="C49" s="5"/>
      <c r="D49" s="5"/>
      <c r="F49" s="16">
        <v>2409985</v>
      </c>
      <c r="G49" s="16">
        <v>2404802</v>
      </c>
      <c r="H49" s="16">
        <v>2405123</v>
      </c>
      <c r="I49" s="16">
        <v>2425230</v>
      </c>
      <c r="J49" s="16">
        <v>2410357</v>
      </c>
      <c r="K49" s="16">
        <v>2410861</v>
      </c>
      <c r="L49" s="16">
        <v>2407667</v>
      </c>
      <c r="M49" s="16">
        <v>2514586</v>
      </c>
      <c r="N49" s="16">
        <v>2288125</v>
      </c>
      <c r="O49" s="16">
        <v>2289783</v>
      </c>
      <c r="P49" s="16">
        <v>2290678</v>
      </c>
      <c r="Q49" s="16">
        <v>2314835</v>
      </c>
      <c r="R49" s="16">
        <v>2301760</v>
      </c>
      <c r="S49" s="16">
        <v>2271372</v>
      </c>
      <c r="T49" s="16">
        <v>2270350</v>
      </c>
      <c r="U49" s="16">
        <v>2290578</v>
      </c>
      <c r="V49" s="16">
        <v>2267929</v>
      </c>
      <c r="W49" s="16">
        <v>2266222</v>
      </c>
      <c r="X49" s="16">
        <v>2265665</v>
      </c>
      <c r="Y49" s="16">
        <v>2244897</v>
      </c>
      <c r="Z49" s="16">
        <v>2264190</v>
      </c>
      <c r="AA49" s="16">
        <v>2262689</v>
      </c>
      <c r="AB49" s="16">
        <v>2264168</v>
      </c>
      <c r="AC49" s="16">
        <v>2283797</v>
      </c>
      <c r="AD49" s="16">
        <v>2078268</v>
      </c>
      <c r="AE49" s="16">
        <v>2027749</v>
      </c>
      <c r="AF49" s="16">
        <v>2025433</v>
      </c>
      <c r="AG49" s="16">
        <v>2014272</v>
      </c>
      <c r="AH49" s="16">
        <v>1766622</v>
      </c>
      <c r="AI49" s="16">
        <v>1755879</v>
      </c>
      <c r="AJ49" s="16">
        <v>1757339</v>
      </c>
      <c r="AK49" s="16">
        <v>1777866</v>
      </c>
      <c r="AL49" s="16">
        <v>1679231</v>
      </c>
      <c r="AM49" s="16">
        <v>1655268</v>
      </c>
      <c r="AN49" s="16">
        <v>1653847</v>
      </c>
      <c r="AO49" s="16">
        <v>1681657</v>
      </c>
      <c r="AP49" s="16">
        <v>1592565</v>
      </c>
      <c r="AQ49" s="16">
        <v>1592523</v>
      </c>
      <c r="AR49" s="16">
        <v>1587413</v>
      </c>
      <c r="AS49" s="16">
        <v>1727369</v>
      </c>
      <c r="AT49" s="16">
        <v>1350357</v>
      </c>
      <c r="AU49" s="16">
        <v>1344727</v>
      </c>
      <c r="AV49" s="16">
        <v>1346822</v>
      </c>
      <c r="AW49" s="16">
        <v>1440168</v>
      </c>
      <c r="AX49" s="16">
        <v>1101634</v>
      </c>
      <c r="AY49" s="16">
        <v>1115231</v>
      </c>
      <c r="AZ49" s="16">
        <v>1096103</v>
      </c>
      <c r="BA49" s="16">
        <v>1245835</v>
      </c>
      <c r="BB49" s="16">
        <v>976247</v>
      </c>
    </row>
    <row r="50" spans="1:54" s="21" customFormat="1" ht="12.75" customHeight="1">
      <c r="A50" s="4" t="s">
        <v>52</v>
      </c>
      <c r="B50" s="5" t="s">
        <v>53</v>
      </c>
      <c r="C50" s="5"/>
      <c r="D50" s="5"/>
      <c r="F50" s="16">
        <v>930073</v>
      </c>
      <c r="G50" s="16">
        <v>930073</v>
      </c>
      <c r="H50" s="16">
        <v>930073</v>
      </c>
      <c r="I50" s="16">
        <v>930073</v>
      </c>
      <c r="J50" s="16">
        <v>930073</v>
      </c>
      <c r="K50" s="16">
        <v>930073</v>
      </c>
      <c r="L50" s="16">
        <v>930073</v>
      </c>
      <c r="M50" s="16">
        <v>930073</v>
      </c>
      <c r="N50" s="16">
        <v>930073</v>
      </c>
      <c r="O50" s="16">
        <v>930073</v>
      </c>
      <c r="P50" s="16">
        <v>930073</v>
      </c>
      <c r="Q50" s="16">
        <v>930073</v>
      </c>
      <c r="R50" s="16">
        <v>930077</v>
      </c>
      <c r="S50" s="16">
        <v>922256</v>
      </c>
      <c r="T50" s="16">
        <v>624156</v>
      </c>
      <c r="U50" s="16">
        <v>624156</v>
      </c>
      <c r="V50" s="16">
        <v>624156</v>
      </c>
      <c r="W50" s="16">
        <v>624154</v>
      </c>
      <c r="X50" s="16">
        <v>624154</v>
      </c>
      <c r="Y50" s="16">
        <v>619463</v>
      </c>
      <c r="Z50" s="16">
        <v>619462</v>
      </c>
      <c r="AA50" s="16">
        <v>619462</v>
      </c>
      <c r="AB50" s="16">
        <v>619462</v>
      </c>
      <c r="AC50" s="16">
        <v>678057</v>
      </c>
      <c r="AD50" s="16">
        <v>675369</v>
      </c>
      <c r="AE50" s="16">
        <v>350108</v>
      </c>
      <c r="AF50" s="16">
        <v>350106</v>
      </c>
      <c r="AG50" s="16">
        <v>350105</v>
      </c>
      <c r="AH50" s="16">
        <v>350105</v>
      </c>
      <c r="AI50" s="16">
        <v>350090</v>
      </c>
      <c r="AJ50" s="16">
        <v>350066</v>
      </c>
      <c r="AK50" s="16">
        <v>350074</v>
      </c>
      <c r="AL50" s="16">
        <v>350012</v>
      </c>
      <c r="AM50" s="16">
        <v>350007</v>
      </c>
      <c r="AN50" s="16">
        <v>350079</v>
      </c>
      <c r="AO50" s="16">
        <v>350547</v>
      </c>
      <c r="AP50" s="16">
        <v>350556</v>
      </c>
      <c r="AQ50" s="16">
        <v>341305</v>
      </c>
      <c r="AR50" s="16">
        <v>341305</v>
      </c>
      <c r="AS50" s="16">
        <v>341354</v>
      </c>
      <c r="AT50" s="16">
        <v>341353</v>
      </c>
      <c r="AU50" s="16">
        <v>337622</v>
      </c>
      <c r="AV50" s="16">
        <v>335287</v>
      </c>
      <c r="AW50" s="16">
        <v>319967</v>
      </c>
      <c r="AX50" s="16">
        <v>317010</v>
      </c>
      <c r="AY50" s="16">
        <v>152952</v>
      </c>
      <c r="AZ50" s="16">
        <v>143488</v>
      </c>
      <c r="BA50" s="16">
        <v>423498</v>
      </c>
      <c r="BB50" s="16">
        <v>423498</v>
      </c>
    </row>
    <row r="51" spans="1:54" s="21" customFormat="1" ht="12.75" customHeight="1">
      <c r="A51" s="4" t="s">
        <v>54</v>
      </c>
      <c r="B51" s="5" t="s">
        <v>55</v>
      </c>
      <c r="C51" s="5"/>
      <c r="D51" s="5"/>
      <c r="F51" s="16">
        <v>1443925</v>
      </c>
      <c r="G51" s="16">
        <v>1443925</v>
      </c>
      <c r="H51" s="16">
        <v>1443925</v>
      </c>
      <c r="I51" s="16">
        <v>1443925</v>
      </c>
      <c r="J51" s="16">
        <v>1443925</v>
      </c>
      <c r="K51" s="16">
        <v>1443925</v>
      </c>
      <c r="L51" s="16">
        <v>1443925</v>
      </c>
      <c r="M51" s="16">
        <v>1443925</v>
      </c>
      <c r="N51" s="16">
        <v>1443925</v>
      </c>
      <c r="O51" s="16">
        <v>1443925</v>
      </c>
      <c r="P51" s="16">
        <v>1443925</v>
      </c>
      <c r="Q51" s="16">
        <v>1443925</v>
      </c>
      <c r="R51" s="16">
        <v>1443925</v>
      </c>
      <c r="S51" s="16">
        <v>1439034</v>
      </c>
      <c r="T51" s="16">
        <v>1001483</v>
      </c>
      <c r="U51" s="16">
        <v>1001483</v>
      </c>
      <c r="V51" s="16">
        <v>1001483</v>
      </c>
      <c r="W51" s="16">
        <v>1001482</v>
      </c>
      <c r="X51" s="16">
        <v>1001482</v>
      </c>
      <c r="Y51" s="16">
        <v>998165</v>
      </c>
      <c r="Z51" s="16">
        <v>998165</v>
      </c>
      <c r="AA51" s="16">
        <v>998165</v>
      </c>
      <c r="AB51" s="16">
        <v>998165</v>
      </c>
      <c r="AC51" s="16">
        <v>998164</v>
      </c>
      <c r="AD51" s="16">
        <v>996426</v>
      </c>
      <c r="AE51" s="16">
        <v>761132</v>
      </c>
      <c r="AF51" s="16">
        <v>761131</v>
      </c>
      <c r="AG51" s="16">
        <v>761131</v>
      </c>
      <c r="AH51" s="16">
        <v>761131</v>
      </c>
      <c r="AI51" s="16">
        <v>761117</v>
      </c>
      <c r="AJ51" s="16">
        <v>761080</v>
      </c>
      <c r="AK51" s="16">
        <v>761080</v>
      </c>
      <c r="AL51" s="16">
        <v>761080</v>
      </c>
      <c r="AM51" s="16">
        <v>761079</v>
      </c>
      <c r="AN51" s="16">
        <v>761077</v>
      </c>
      <c r="AO51" s="16">
        <v>761077</v>
      </c>
      <c r="AP51" s="16">
        <v>761077</v>
      </c>
      <c r="AQ51" s="16">
        <v>757458</v>
      </c>
      <c r="AR51" s="16">
        <v>757458</v>
      </c>
      <c r="AS51" s="16">
        <v>757458</v>
      </c>
      <c r="AT51" s="16">
        <v>757458</v>
      </c>
      <c r="AU51" s="16">
        <v>755992</v>
      </c>
      <c r="AV51" s="16">
        <v>755085</v>
      </c>
      <c r="AW51" s="16">
        <v>749433</v>
      </c>
      <c r="AX51" s="16">
        <v>749433</v>
      </c>
      <c r="AY51" s="16">
        <v>700485</v>
      </c>
      <c r="AZ51" s="16">
        <v>697842</v>
      </c>
      <c r="BA51" s="16">
        <v>232614</v>
      </c>
      <c r="BB51" s="16">
        <v>232614</v>
      </c>
    </row>
    <row r="52" spans="1:54" s="21" customFormat="1" ht="12.75" customHeight="1">
      <c r="A52" s="4" t="s">
        <v>56</v>
      </c>
      <c r="B52" s="5" t="s">
        <v>57</v>
      </c>
      <c r="C52" s="5"/>
      <c r="D52" s="5"/>
      <c r="F52" s="88">
        <v>-7258</v>
      </c>
      <c r="G52" s="88">
        <v>-7258</v>
      </c>
      <c r="H52" s="88">
        <v>-7258</v>
      </c>
      <c r="I52" s="88">
        <v>-7258</v>
      </c>
      <c r="J52" s="88">
        <v>-7258</v>
      </c>
      <c r="K52" s="88">
        <v>-7258</v>
      </c>
      <c r="L52" s="88">
        <v>-7258</v>
      </c>
      <c r="M52" s="88">
        <v>-7255</v>
      </c>
      <c r="N52" s="88">
        <v>-7255</v>
      </c>
      <c r="O52" s="88">
        <v>-7256</v>
      </c>
      <c r="P52" s="88">
        <v>-7255</v>
      </c>
      <c r="Q52" s="88">
        <v>-7256</v>
      </c>
      <c r="R52" s="88">
        <v>-7259</v>
      </c>
      <c r="S52" s="88">
        <v>-7272</v>
      </c>
      <c r="T52" s="88">
        <v>-7272</v>
      </c>
      <c r="U52" s="88">
        <v>-7272</v>
      </c>
      <c r="V52" s="88">
        <v>-7272</v>
      </c>
      <c r="W52" s="88">
        <v>-7272</v>
      </c>
      <c r="X52" s="88">
        <v>-7264</v>
      </c>
      <c r="Y52" s="88">
        <v>-7266</v>
      </c>
      <c r="Z52" s="88">
        <v>-7266</v>
      </c>
      <c r="AA52" s="88">
        <v>-7290</v>
      </c>
      <c r="AB52" s="88">
        <v>-7290</v>
      </c>
      <c r="AC52" s="88">
        <v>-82917</v>
      </c>
      <c r="AD52" s="88">
        <v>-83336</v>
      </c>
      <c r="AE52" s="88">
        <v>-83183</v>
      </c>
      <c r="AF52" s="88">
        <v>-83183</v>
      </c>
      <c r="AG52" s="88">
        <v>-83183</v>
      </c>
      <c r="AH52" s="88">
        <v>-83183</v>
      </c>
      <c r="AI52" s="88">
        <v>-83227</v>
      </c>
      <c r="AJ52" s="88">
        <v>-83287</v>
      </c>
      <c r="AK52" s="88">
        <v>-83295</v>
      </c>
      <c r="AL52" s="88">
        <v>-83327</v>
      </c>
      <c r="AM52" s="88">
        <v>-83327</v>
      </c>
      <c r="AN52" s="88">
        <v>-83399</v>
      </c>
      <c r="AO52" s="88">
        <v>-84219</v>
      </c>
      <c r="AP52" s="88">
        <v>-84006</v>
      </c>
      <c r="AQ52" s="88">
        <v>-83690</v>
      </c>
      <c r="AR52" s="88">
        <v>-81496</v>
      </c>
      <c r="AS52" s="88">
        <v>-79774</v>
      </c>
      <c r="AT52" s="88">
        <v>-75423</v>
      </c>
      <c r="AU52" s="88">
        <v>-58434</v>
      </c>
      <c r="AV52" s="88">
        <v>-38167</v>
      </c>
      <c r="AW52" s="88">
        <v>-34921</v>
      </c>
      <c r="AX52" s="88">
        <v>-34829</v>
      </c>
      <c r="AY52" s="88">
        <v>-30999</v>
      </c>
      <c r="AZ52" s="88">
        <v>-7396</v>
      </c>
      <c r="BA52" s="88">
        <v>-2140</v>
      </c>
      <c r="BB52" s="88">
        <v>-2441</v>
      </c>
    </row>
    <row r="53" spans="1:54" s="21" customFormat="1" ht="12.75" customHeight="1">
      <c r="A53" s="4" t="s">
        <v>58</v>
      </c>
      <c r="B53" s="5" t="s">
        <v>59</v>
      </c>
      <c r="C53" s="5"/>
      <c r="D53" s="5"/>
      <c r="F53" s="16">
        <v>653010</v>
      </c>
      <c r="G53" s="16">
        <v>657204</v>
      </c>
      <c r="H53" s="16">
        <v>658684</v>
      </c>
      <c r="I53" s="16">
        <v>670810</v>
      </c>
      <c r="J53" s="16">
        <v>674366</v>
      </c>
      <c r="K53" s="16">
        <v>678745</v>
      </c>
      <c r="L53" s="16">
        <v>674554</v>
      </c>
      <c r="M53" s="16">
        <v>632545</v>
      </c>
      <c r="N53" s="16">
        <v>627287</v>
      </c>
      <c r="O53" s="16">
        <v>624656</v>
      </c>
      <c r="P53" s="16">
        <v>622195</v>
      </c>
      <c r="Q53" s="16">
        <v>642141</v>
      </c>
      <c r="R53" s="16">
        <v>639991</v>
      </c>
      <c r="S53" s="16">
        <v>688304</v>
      </c>
      <c r="T53" s="16">
        <v>687835</v>
      </c>
      <c r="U53" s="16">
        <v>687376</v>
      </c>
      <c r="V53" s="16">
        <v>678816</v>
      </c>
      <c r="W53" s="16">
        <v>679315</v>
      </c>
      <c r="X53" s="16">
        <v>674155</v>
      </c>
      <c r="Y53" s="16">
        <v>719338</v>
      </c>
      <c r="Z53" s="16">
        <v>700325</v>
      </c>
      <c r="AA53" s="16">
        <v>720073</v>
      </c>
      <c r="AB53" s="16">
        <v>707026</v>
      </c>
      <c r="AC53" s="16">
        <v>732174</v>
      </c>
      <c r="AD53" s="16">
        <v>715675</v>
      </c>
      <c r="AE53" s="16">
        <v>1097605</v>
      </c>
      <c r="AF53" s="16">
        <v>1098081</v>
      </c>
      <c r="AG53" s="16">
        <v>1103236</v>
      </c>
      <c r="AH53" s="16">
        <v>1094461</v>
      </c>
      <c r="AI53" s="16">
        <v>1098911</v>
      </c>
      <c r="AJ53" s="16">
        <v>1055605</v>
      </c>
      <c r="AK53" s="16">
        <v>1186504</v>
      </c>
      <c r="AL53" s="16">
        <v>1197991</v>
      </c>
      <c r="AM53" s="16">
        <v>1196029</v>
      </c>
      <c r="AN53" s="16">
        <v>1158899</v>
      </c>
      <c r="AO53" s="16">
        <v>1051307</v>
      </c>
      <c r="AP53" s="16">
        <v>1039657</v>
      </c>
      <c r="AQ53" s="16">
        <v>995773</v>
      </c>
      <c r="AR53" s="16">
        <v>971930</v>
      </c>
      <c r="AS53" s="16">
        <v>981240</v>
      </c>
      <c r="AT53" s="16">
        <v>963191</v>
      </c>
      <c r="AU53" s="16">
        <v>946348</v>
      </c>
      <c r="AV53" s="16">
        <v>904896</v>
      </c>
      <c r="AW53" s="16">
        <v>907699</v>
      </c>
      <c r="AX53" s="16">
        <v>885343</v>
      </c>
      <c r="AY53" s="16">
        <v>892335</v>
      </c>
      <c r="AZ53" s="16">
        <v>869720</v>
      </c>
      <c r="BA53" s="16">
        <v>902213</v>
      </c>
      <c r="BB53" s="16">
        <v>877687</v>
      </c>
    </row>
    <row r="54" spans="1:54" s="21" customFormat="1" ht="11.25">
      <c r="A54" s="4" t="s">
        <v>60</v>
      </c>
      <c r="B54" s="5" t="s">
        <v>61</v>
      </c>
      <c r="C54" s="5"/>
      <c r="D54" s="5"/>
      <c r="F54" s="16">
        <v>176438</v>
      </c>
      <c r="G54" s="16">
        <v>148958</v>
      </c>
      <c r="H54" s="16">
        <v>119062</v>
      </c>
      <c r="I54" s="16">
        <v>14558</v>
      </c>
      <c r="J54" s="16">
        <v>14299</v>
      </c>
      <c r="K54" s="16">
        <v>101160</v>
      </c>
      <c r="L54" s="16">
        <v>64742</v>
      </c>
      <c r="M54" s="16">
        <v>30975</v>
      </c>
      <c r="N54" s="16">
        <v>220661</v>
      </c>
      <c r="O54" s="16">
        <v>82586</v>
      </c>
      <c r="P54" s="16">
        <v>73231</v>
      </c>
      <c r="Q54" s="16">
        <v>45197</v>
      </c>
      <c r="R54" s="16">
        <v>14797</v>
      </c>
      <c r="S54" s="16">
        <v>61101</v>
      </c>
      <c r="T54" s="16">
        <v>35900</v>
      </c>
      <c r="U54" s="16">
        <v>28272</v>
      </c>
      <c r="V54" s="16">
        <v>7176</v>
      </c>
      <c r="W54" s="16">
        <v>14206</v>
      </c>
      <c r="X54" s="16">
        <v>-21464</v>
      </c>
      <c r="Y54" s="16">
        <v>14392</v>
      </c>
      <c r="Z54" s="16">
        <v>-11271</v>
      </c>
      <c r="AA54" s="16">
        <v>141707</v>
      </c>
      <c r="AB54" s="16">
        <v>82777</v>
      </c>
      <c r="AC54" s="16">
        <v>87737</v>
      </c>
      <c r="AD54" s="16">
        <v>214639</v>
      </c>
      <c r="AE54" s="16">
        <v>139215</v>
      </c>
      <c r="AF54" s="16">
        <v>80094</v>
      </c>
      <c r="AG54" s="16">
        <v>61551</v>
      </c>
      <c r="AH54" s="16">
        <v>293124</v>
      </c>
      <c r="AI54" s="16">
        <v>271201</v>
      </c>
      <c r="AJ54" s="16">
        <v>192975</v>
      </c>
      <c r="AK54" s="16">
        <v>57988</v>
      </c>
      <c r="AL54" s="16">
        <v>115787</v>
      </c>
      <c r="AM54" s="16">
        <v>119167</v>
      </c>
      <c r="AN54" s="16">
        <v>43726</v>
      </c>
      <c r="AO54" s="16">
        <v>38921</v>
      </c>
      <c r="AP54" s="16">
        <v>133663</v>
      </c>
      <c r="AQ54" s="16">
        <v>209350</v>
      </c>
      <c r="AR54" s="16">
        <v>147933</v>
      </c>
      <c r="AS54" s="16">
        <v>70481</v>
      </c>
      <c r="AT54" s="16">
        <v>374455</v>
      </c>
      <c r="AU54" s="16">
        <v>290147</v>
      </c>
      <c r="AV54" s="16">
        <v>197788</v>
      </c>
      <c r="AW54" s="16">
        <v>103988</v>
      </c>
      <c r="AX54" s="16">
        <v>346831</v>
      </c>
      <c r="AY54" s="16">
        <v>245494</v>
      </c>
      <c r="AZ54" s="16">
        <v>166768</v>
      </c>
      <c r="BA54" s="16">
        <v>80775</v>
      </c>
      <c r="BB54" s="16">
        <v>276333</v>
      </c>
    </row>
    <row r="55" spans="1:54" s="21" customFormat="1" ht="13.5" customHeight="1">
      <c r="A55" s="32"/>
      <c r="B55" s="22" t="s">
        <v>62</v>
      </c>
      <c r="C55" s="22"/>
      <c r="D55" s="22"/>
      <c r="E55" s="33"/>
      <c r="F55" s="23">
        <v>71338807</v>
      </c>
      <c r="G55" s="23">
        <v>70296773</v>
      </c>
      <c r="H55" s="23">
        <v>70512244</v>
      </c>
      <c r="I55" s="23">
        <v>67883801</v>
      </c>
      <c r="J55" s="23">
        <v>64960024</v>
      </c>
      <c r="K55" s="23">
        <v>62632791</v>
      </c>
      <c r="L55" s="23">
        <v>62450390</v>
      </c>
      <c r="M55" s="23">
        <v>61407556</v>
      </c>
      <c r="N55" s="23">
        <v>61261231</v>
      </c>
      <c r="O55" s="23">
        <v>60658489</v>
      </c>
      <c r="P55" s="23">
        <v>60924918</v>
      </c>
      <c r="Q55" s="23">
        <v>60604875</v>
      </c>
      <c r="R55" s="23">
        <v>60652920</v>
      </c>
      <c r="S55" s="23">
        <v>60482619</v>
      </c>
      <c r="T55" s="23">
        <v>60930915</v>
      </c>
      <c r="U55" s="23">
        <v>60711085</v>
      </c>
      <c r="V55" s="23">
        <v>61758052</v>
      </c>
      <c r="W55" s="23">
        <v>61438402</v>
      </c>
      <c r="X55" s="23">
        <v>62577865</v>
      </c>
      <c r="Y55" s="23">
        <v>62398464</v>
      </c>
      <c r="Z55" s="23">
        <v>61637758</v>
      </c>
      <c r="AA55" s="23">
        <v>61881304</v>
      </c>
      <c r="AB55" s="23">
        <v>61043986</v>
      </c>
      <c r="AC55" s="23">
        <v>60150647</v>
      </c>
      <c r="AD55" s="23">
        <v>60487931</v>
      </c>
      <c r="AE55" s="23">
        <v>60451064</v>
      </c>
      <c r="AF55" s="23">
        <v>59353760</v>
      </c>
      <c r="AG55" s="23">
        <v>59271686</v>
      </c>
      <c r="AH55" s="23">
        <f>SUM(AH32:AH38)+SUM(AH41:AH44)+SUM(AH47:AH54)</f>
        <v>58498416</v>
      </c>
      <c r="AI55" s="23">
        <v>57928118</v>
      </c>
      <c r="AJ55" s="23">
        <v>56821304</v>
      </c>
      <c r="AK55" s="23">
        <v>59625948</v>
      </c>
      <c r="AL55" s="23">
        <f>SUM(AL32:AL38)+SUM(AL41:AL44)+SUM(AL47:AL54)</f>
        <v>59360483</v>
      </c>
      <c r="AM55" s="23">
        <v>58288114</v>
      </c>
      <c r="AN55" s="23">
        <v>58069043</v>
      </c>
      <c r="AO55" s="23">
        <v>54840337</v>
      </c>
      <c r="AP55" s="23">
        <v>52772092</v>
      </c>
      <c r="AQ55" s="23">
        <v>51294695</v>
      </c>
      <c r="AR55" s="23">
        <f>SUM(AR32:AR54)-AR38-AR44</f>
        <v>50561378</v>
      </c>
      <c r="AS55" s="23">
        <v>48832440</v>
      </c>
      <c r="AT55" s="23">
        <v>48544033</v>
      </c>
      <c r="AU55" s="23">
        <v>46353785</v>
      </c>
      <c r="AV55" s="23">
        <v>46950580</v>
      </c>
      <c r="AW55" s="23">
        <v>45076191</v>
      </c>
      <c r="AX55" s="23">
        <v>45257632</v>
      </c>
      <c r="AY55" s="23">
        <v>43429059</v>
      </c>
      <c r="AZ55" s="23">
        <v>43746737</v>
      </c>
      <c r="BA55" s="23">
        <v>43045741</v>
      </c>
      <c r="BB55" s="23">
        <v>43364456</v>
      </c>
    </row>
    <row r="57" spans="1:54" ht="70.5" customHeight="1">
      <c r="A57" s="240" t="s">
        <v>299</v>
      </c>
      <c r="B57" s="240"/>
      <c r="C57" s="240"/>
      <c r="D57" s="240"/>
      <c r="E57" s="240"/>
      <c r="F57" s="240"/>
      <c r="G57" s="240"/>
      <c r="H57" s="240"/>
      <c r="I57" s="240"/>
    </row>
  </sheetData>
  <sheetProtection formatCells="0" insertColumns="0" insertRows="0" deleteColumns="0" deleteRows="0" selectLockedCells="1"/>
  <mergeCells count="7">
    <mergeCell ref="A57:I57"/>
    <mergeCell ref="A4:E4"/>
    <mergeCell ref="A30:C30"/>
    <mergeCell ref="A29:E29"/>
    <mergeCell ref="B8:E8"/>
    <mergeCell ref="B14:E14"/>
    <mergeCell ref="B23:E23"/>
  </mergeCells>
  <phoneticPr fontId="0" type="noConversion"/>
  <conditionalFormatting sqref="AB26">
    <cfRule type="cellIs" dxfId="1" priority="1" stopIfTrue="1" operator="equal">
      <formula>"o k"</formula>
    </cfRule>
  </conditionalFormatting>
  <conditionalFormatting sqref="AJ26 AL26">
    <cfRule type="cellIs" dxfId="0" priority="2" stopIfTrue="1" operator="equal">
      <formula>"o k"</formula>
    </cfRule>
  </conditionalFormatting>
  <pageMargins left="1.0236220472440944" right="1.0236220472440944" top="0.70866141732283472" bottom="0.70866141732283472" header="0.51181102362204722" footer="0.51181102362204722"/>
  <pageSetup paperSize="9" firstPageNumber="53" orientation="portrait" useFirstPageNumber="1" r:id="rId1"/>
  <headerFooter alignWithMargins="0"/>
  <ignoredErrors>
    <ignoredError sqref="J29 AG29:AK29" unlockedFormula="1"/>
    <ignoredError sqref="AL25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BG52"/>
  <sheetViews>
    <sheetView showGridLines="0" topLeftCell="Q1" workbookViewId="0">
      <pane ySplit="4" topLeftCell="A5" activePane="bottomLeft" state="frozen"/>
      <selection activeCell="AF22" sqref="AF22"/>
      <selection pane="bottomLeft" activeCell="AF22" sqref="AF22"/>
    </sheetView>
  </sheetViews>
  <sheetFormatPr defaultRowHeight="12.75"/>
  <cols>
    <col min="1" max="1" width="5.5703125" customWidth="1"/>
    <col min="5" max="31" width="14.85546875" customWidth="1"/>
    <col min="32" max="34" width="14.7109375" customWidth="1"/>
    <col min="35" max="35" width="14.85546875" customWidth="1"/>
    <col min="36" max="38" width="14.7109375" customWidth="1"/>
    <col min="39" max="39" width="14.5703125" customWidth="1"/>
    <col min="40" max="45" width="14.7109375" customWidth="1"/>
    <col min="46" max="54" width="9.85546875" bestFit="1" customWidth="1"/>
  </cols>
  <sheetData>
    <row r="1" spans="1:59" s="3" customFormat="1" ht="26.25">
      <c r="A1" s="1" t="s">
        <v>63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I1" s="12"/>
      <c r="AJ1" s="11"/>
      <c r="AM1"/>
    </row>
    <row r="2" spans="1:59" s="3" customFormat="1" ht="26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I2" s="12"/>
      <c r="AJ2" s="11"/>
      <c r="AM2"/>
    </row>
    <row r="3" spans="1:59" s="21" customFormat="1" ht="12" thickBot="1">
      <c r="A3" s="81" t="s">
        <v>277</v>
      </c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BG3" s="46"/>
    </row>
    <row r="4" spans="1:59" s="21" customFormat="1" ht="21" customHeight="1" thickBot="1">
      <c r="A4" s="241" t="s">
        <v>64</v>
      </c>
      <c r="B4" s="241"/>
      <c r="C4" s="241"/>
      <c r="D4" s="241"/>
      <c r="E4" s="241">
        <v>2005</v>
      </c>
      <c r="F4" s="25" t="s">
        <v>304</v>
      </c>
      <c r="G4" s="25" t="s">
        <v>289</v>
      </c>
      <c r="H4" s="25" t="s">
        <v>298</v>
      </c>
      <c r="I4" s="25" t="s">
        <v>278</v>
      </c>
      <c r="J4" s="25" t="s">
        <v>245</v>
      </c>
      <c r="K4" s="25" t="s">
        <v>240</v>
      </c>
      <c r="L4" s="25" t="s">
        <v>233</v>
      </c>
      <c r="M4" s="25" t="s">
        <v>232</v>
      </c>
      <c r="N4" s="25" t="s">
        <v>230</v>
      </c>
      <c r="O4" s="25" t="s">
        <v>228</v>
      </c>
      <c r="P4" s="25" t="s">
        <v>185</v>
      </c>
      <c r="Q4" s="25" t="s">
        <v>186</v>
      </c>
      <c r="R4" s="25" t="s">
        <v>183</v>
      </c>
      <c r="S4" s="25" t="s">
        <v>178</v>
      </c>
      <c r="T4" s="25" t="s">
        <v>179</v>
      </c>
      <c r="U4" s="25" t="s">
        <v>180</v>
      </c>
      <c r="V4" s="25" t="s">
        <v>171</v>
      </c>
      <c r="W4" s="25" t="s">
        <v>172</v>
      </c>
      <c r="X4" s="25" t="s">
        <v>173</v>
      </c>
      <c r="Y4" s="25" t="s">
        <v>174</v>
      </c>
      <c r="Z4" s="25" t="s">
        <v>163</v>
      </c>
      <c r="AA4" s="25" t="s">
        <v>168</v>
      </c>
      <c r="AB4" s="25" t="s">
        <v>167</v>
      </c>
      <c r="AC4" s="25" t="s">
        <v>166</v>
      </c>
      <c r="AD4" s="25" t="s">
        <v>161</v>
      </c>
      <c r="AE4" s="25" t="s">
        <v>158</v>
      </c>
      <c r="AF4" s="25" t="s">
        <v>141</v>
      </c>
      <c r="AG4" s="25" t="s">
        <v>2</v>
      </c>
      <c r="AH4" s="25" t="s">
        <v>3</v>
      </c>
      <c r="AI4" s="25" t="s">
        <v>115</v>
      </c>
      <c r="AJ4" s="25" t="s">
        <v>116</v>
      </c>
      <c r="AK4" s="25" t="s">
        <v>65</v>
      </c>
      <c r="AL4" s="25" t="s">
        <v>142</v>
      </c>
      <c r="AM4" s="25" t="s">
        <v>143</v>
      </c>
      <c r="AN4" s="25" t="s">
        <v>144</v>
      </c>
      <c r="AO4" s="25" t="s">
        <v>145</v>
      </c>
      <c r="AP4" s="25" t="s">
        <v>150</v>
      </c>
      <c r="AQ4" s="25" t="s">
        <v>151</v>
      </c>
      <c r="AR4" s="25" t="s">
        <v>153</v>
      </c>
      <c r="AS4" s="25" t="s">
        <v>152</v>
      </c>
      <c r="AT4" s="25" t="s">
        <v>279</v>
      </c>
      <c r="AU4" s="25" t="s">
        <v>280</v>
      </c>
      <c r="AV4" s="25" t="s">
        <v>281</v>
      </c>
      <c r="AW4" s="25" t="s">
        <v>282</v>
      </c>
      <c r="AX4" s="25" t="s">
        <v>283</v>
      </c>
      <c r="AY4" s="25" t="s">
        <v>284</v>
      </c>
      <c r="AZ4" s="25" t="s">
        <v>285</v>
      </c>
      <c r="BA4" s="25" t="s">
        <v>286</v>
      </c>
      <c r="BB4" s="25" t="s">
        <v>287</v>
      </c>
    </row>
    <row r="5" spans="1:59" s="21" customFormat="1" ht="2.25" customHeight="1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</row>
    <row r="6" spans="1:59" s="21" customFormat="1" ht="12.75" customHeight="1">
      <c r="A6" s="4" t="s">
        <v>4</v>
      </c>
      <c r="B6" s="5" t="s">
        <v>66</v>
      </c>
      <c r="C6" s="5"/>
      <c r="D6" s="5"/>
      <c r="F6" s="13">
        <v>1416396</v>
      </c>
      <c r="G6" s="13">
        <v>1065138</v>
      </c>
      <c r="H6" s="13">
        <v>706601</v>
      </c>
      <c r="I6" s="13">
        <v>355137</v>
      </c>
      <c r="J6" s="13">
        <v>1483051</v>
      </c>
      <c r="K6" s="13">
        <v>1117592</v>
      </c>
      <c r="L6" s="13">
        <v>758133</v>
      </c>
      <c r="M6" s="13">
        <v>384670</v>
      </c>
      <c r="N6" s="13">
        <v>1648399</v>
      </c>
      <c r="O6" s="13">
        <v>1249343</v>
      </c>
      <c r="P6" s="13">
        <v>846488</v>
      </c>
      <c r="Q6" s="13">
        <v>431035</v>
      </c>
      <c r="R6" s="13">
        <v>1908288</v>
      </c>
      <c r="S6" s="13">
        <v>1454951</v>
      </c>
      <c r="T6" s="13">
        <v>984333</v>
      </c>
      <c r="U6" s="13">
        <v>494548</v>
      </c>
      <c r="V6" s="13">
        <v>2060585</v>
      </c>
      <c r="W6" s="13">
        <v>1555772</v>
      </c>
      <c r="X6" s="13">
        <v>1045365</v>
      </c>
      <c r="Y6" s="13">
        <v>522914</v>
      </c>
      <c r="Z6" s="13">
        <v>2196449</v>
      </c>
      <c r="AA6" s="13">
        <v>1655108</v>
      </c>
      <c r="AB6" s="13">
        <v>1113166</v>
      </c>
      <c r="AC6" s="13">
        <v>566498</v>
      </c>
      <c r="AD6" s="13">
        <v>2106791</v>
      </c>
      <c r="AE6" s="13">
        <v>1538199</v>
      </c>
      <c r="AF6" s="13">
        <v>992338</v>
      </c>
      <c r="AG6" s="13">
        <v>479437</v>
      </c>
      <c r="AH6" s="13">
        <v>1838853</v>
      </c>
      <c r="AI6" s="13">
        <v>1363193</v>
      </c>
      <c r="AJ6" s="13">
        <v>900283</v>
      </c>
      <c r="AK6" s="13">
        <v>451455</v>
      </c>
      <c r="AL6" s="13">
        <v>2175007</v>
      </c>
      <c r="AM6" s="13">
        <f>629993+578242+485208</f>
        <v>1693443</v>
      </c>
      <c r="AN6" s="13">
        <f>629993+578242</f>
        <v>1208235</v>
      </c>
      <c r="AO6" s="13">
        <v>629993</v>
      </c>
      <c r="AP6" s="13">
        <v>2904053</v>
      </c>
      <c r="AQ6" s="13">
        <v>2139380</v>
      </c>
      <c r="AR6" s="13">
        <v>1388574</v>
      </c>
      <c r="AS6" s="13">
        <v>681667</v>
      </c>
      <c r="AT6" s="13">
        <v>2485190</v>
      </c>
      <c r="AU6" s="13">
        <v>1804739</v>
      </c>
      <c r="AV6" s="13">
        <v>1165757</v>
      </c>
      <c r="AW6" s="13">
        <v>567459</v>
      </c>
      <c r="AX6" s="13">
        <v>1967213</v>
      </c>
      <c r="AY6" s="13">
        <v>1424501</v>
      </c>
      <c r="AZ6" s="13">
        <v>920551</v>
      </c>
      <c r="BA6" s="13">
        <v>447766</v>
      </c>
      <c r="BB6" s="13">
        <v>1662499</v>
      </c>
    </row>
    <row r="7" spans="1:59" s="21" customFormat="1" ht="11.25">
      <c r="A7" s="4" t="s">
        <v>6</v>
      </c>
      <c r="B7" s="5" t="s">
        <v>67</v>
      </c>
      <c r="C7" s="5"/>
      <c r="D7" s="5"/>
      <c r="F7" s="13">
        <v>-291917</v>
      </c>
      <c r="G7" s="13">
        <v>-214801</v>
      </c>
      <c r="H7" s="13">
        <v>-136482</v>
      </c>
      <c r="I7" s="13">
        <v>-67023</v>
      </c>
      <c r="J7" s="13">
        <v>-312604</v>
      </c>
      <c r="K7" s="13">
        <v>-241488</v>
      </c>
      <c r="L7" s="13">
        <v>-167757</v>
      </c>
      <c r="M7" s="13">
        <v>-87870</v>
      </c>
      <c r="N7" s="13">
        <v>-420858</v>
      </c>
      <c r="O7" s="13">
        <v>-324842</v>
      </c>
      <c r="P7" s="13">
        <v>-224023</v>
      </c>
      <c r="Q7" s="13">
        <v>-116940</v>
      </c>
      <c r="R7" s="13">
        <v>-616479</v>
      </c>
      <c r="S7" s="13">
        <v>-476452</v>
      </c>
      <c r="T7" s="13">
        <v>-325874</v>
      </c>
      <c r="U7" s="13">
        <v>-164728</v>
      </c>
      <c r="V7" s="13">
        <v>-770596</v>
      </c>
      <c r="W7" s="13">
        <v>-591589</v>
      </c>
      <c r="X7" s="13">
        <v>-408169</v>
      </c>
      <c r="Y7" s="13">
        <v>-211799</v>
      </c>
      <c r="Z7" s="13">
        <v>-886910</v>
      </c>
      <c r="AA7" s="13">
        <v>-674307</v>
      </c>
      <c r="AB7" s="13">
        <v>-456009</v>
      </c>
      <c r="AC7" s="13">
        <v>-229990</v>
      </c>
      <c r="AD7" s="13">
        <v>-776348</v>
      </c>
      <c r="AE7" s="13">
        <v>-549537</v>
      </c>
      <c r="AF7" s="13">
        <v>-341728</v>
      </c>
      <c r="AG7" s="13">
        <v>-156934</v>
      </c>
      <c r="AH7" s="13">
        <v>-549312</v>
      </c>
      <c r="AI7" s="13">
        <v>-403303</v>
      </c>
      <c r="AJ7" s="13">
        <v>-266227</v>
      </c>
      <c r="AK7" s="13">
        <v>-133624</v>
      </c>
      <c r="AL7" s="13">
        <v>-835071</v>
      </c>
      <c r="AM7" s="13">
        <f>-290909-218058-170806</f>
        <v>-679773</v>
      </c>
      <c r="AN7" s="13">
        <f>-290909-218058</f>
        <v>-508967</v>
      </c>
      <c r="AO7" s="13">
        <v>-290909</v>
      </c>
      <c r="AP7" s="13">
        <v>-1395798</v>
      </c>
      <c r="AQ7" s="13">
        <v>-1027184</v>
      </c>
      <c r="AR7" s="13">
        <v>-658860</v>
      </c>
      <c r="AS7" s="13">
        <v>-320848</v>
      </c>
      <c r="AT7" s="13">
        <v>-980258</v>
      </c>
      <c r="AU7" s="13">
        <v>-708495</v>
      </c>
      <c r="AV7" s="13">
        <v>-448940</v>
      </c>
      <c r="AW7" s="13">
        <v>-210921</v>
      </c>
      <c r="AX7" s="13">
        <v>-681611</v>
      </c>
      <c r="AY7" s="13">
        <v>-486662</v>
      </c>
      <c r="AZ7" s="13">
        <v>-310128</v>
      </c>
      <c r="BA7" s="13">
        <v>-149589</v>
      </c>
      <c r="BB7" s="13">
        <v>-550927</v>
      </c>
    </row>
    <row r="8" spans="1:59" s="21" customFormat="1" ht="11.25">
      <c r="A8" s="4" t="s">
        <v>8</v>
      </c>
      <c r="B8" s="8" t="s">
        <v>68</v>
      </c>
      <c r="C8" s="8"/>
      <c r="D8" s="8"/>
      <c r="E8" s="40"/>
      <c r="F8" s="14">
        <v>1124479</v>
      </c>
      <c r="G8" s="14">
        <v>850337</v>
      </c>
      <c r="H8" s="14">
        <v>570119</v>
      </c>
      <c r="I8" s="14">
        <v>288114</v>
      </c>
      <c r="J8" s="14">
        <v>1170447</v>
      </c>
      <c r="K8" s="14">
        <v>876104</v>
      </c>
      <c r="L8" s="14">
        <v>590376</v>
      </c>
      <c r="M8" s="14">
        <v>296800</v>
      </c>
      <c r="N8" s="14">
        <v>1227541</v>
      </c>
      <c r="O8" s="14">
        <v>924501</v>
      </c>
      <c r="P8" s="14">
        <v>622465</v>
      </c>
      <c r="Q8" s="14">
        <v>314095</v>
      </c>
      <c r="R8" s="14">
        <v>1291809</v>
      </c>
      <c r="S8" s="14">
        <v>978499</v>
      </c>
      <c r="T8" s="14">
        <v>658459</v>
      </c>
      <c r="U8" s="14">
        <v>329820</v>
      </c>
      <c r="V8" s="14">
        <v>1289989</v>
      </c>
      <c r="W8" s="14">
        <v>964183</v>
      </c>
      <c r="X8" s="14">
        <v>637196</v>
      </c>
      <c r="Y8" s="14">
        <v>311115</v>
      </c>
      <c r="Z8" s="14">
        <v>1309539</v>
      </c>
      <c r="AA8" s="14">
        <v>980801</v>
      </c>
      <c r="AB8" s="14">
        <v>657157</v>
      </c>
      <c r="AC8" s="14">
        <v>336508</v>
      </c>
      <c r="AD8" s="14">
        <v>1330443</v>
      </c>
      <c r="AE8" s="14">
        <v>988662</v>
      </c>
      <c r="AF8" s="14">
        <v>650610</v>
      </c>
      <c r="AG8" s="14">
        <v>322503</v>
      </c>
      <c r="AH8" s="14">
        <v>1289541</v>
      </c>
      <c r="AI8" s="14">
        <v>959890</v>
      </c>
      <c r="AJ8" s="14">
        <v>634056</v>
      </c>
      <c r="AK8" s="14">
        <v>317831</v>
      </c>
      <c r="AL8" s="14">
        <f>+AL6+AL7</f>
        <v>1339936</v>
      </c>
      <c r="AM8" s="14">
        <f>+AM6+AM7</f>
        <v>1013670</v>
      </c>
      <c r="AN8" s="14">
        <f>+AN6+AN7</f>
        <v>699268</v>
      </c>
      <c r="AO8" s="14">
        <f>+AO6+AO7</f>
        <v>339084</v>
      </c>
      <c r="AP8" s="14">
        <v>1508255</v>
      </c>
      <c r="AQ8" s="14">
        <f>SUM(AQ6:AQ7)</f>
        <v>1112196</v>
      </c>
      <c r="AR8" s="14">
        <f>SUM(AR6:AR7)</f>
        <v>729714</v>
      </c>
      <c r="AS8" s="14">
        <f>SUM(AS6:AS7)</f>
        <v>360819</v>
      </c>
      <c r="AT8" s="14">
        <v>1504932</v>
      </c>
      <c r="AU8" s="14">
        <v>1096244</v>
      </c>
      <c r="AV8" s="14">
        <v>716817</v>
      </c>
      <c r="AW8" s="14">
        <v>356538</v>
      </c>
      <c r="AX8" s="14">
        <v>1285602</v>
      </c>
      <c r="AY8" s="14">
        <v>937839</v>
      </c>
      <c r="AZ8" s="14">
        <v>610423</v>
      </c>
      <c r="BA8" s="14">
        <v>298177</v>
      </c>
      <c r="BB8" s="14">
        <v>1111572</v>
      </c>
    </row>
    <row r="9" spans="1:59" s="21" customFormat="1" ht="12.75" customHeight="1">
      <c r="A9" s="4" t="s">
        <v>9</v>
      </c>
      <c r="B9" s="5" t="s">
        <v>69</v>
      </c>
      <c r="C9" s="5"/>
      <c r="D9" s="5"/>
      <c r="F9" s="13">
        <v>776606</v>
      </c>
      <c r="G9" s="13">
        <v>570930</v>
      </c>
      <c r="H9" s="13">
        <v>376627</v>
      </c>
      <c r="I9" s="13">
        <v>185947</v>
      </c>
      <c r="J9" s="13">
        <v>745959</v>
      </c>
      <c r="K9" s="13">
        <v>557443</v>
      </c>
      <c r="L9" s="13">
        <v>374375</v>
      </c>
      <c r="M9" s="13">
        <v>185186</v>
      </c>
      <c r="N9" s="13">
        <v>762474</v>
      </c>
      <c r="O9" s="13">
        <v>565041</v>
      </c>
      <c r="P9" s="13">
        <v>377393</v>
      </c>
      <c r="Q9" s="13">
        <v>188020</v>
      </c>
      <c r="R9" s="13">
        <v>739119</v>
      </c>
      <c r="S9" s="13">
        <v>552662</v>
      </c>
      <c r="T9" s="13">
        <v>370233</v>
      </c>
      <c r="U9" s="13">
        <v>184023</v>
      </c>
      <c r="V9" s="13">
        <v>751186</v>
      </c>
      <c r="W9" s="13">
        <v>559585</v>
      </c>
      <c r="X9" s="13">
        <v>373265</v>
      </c>
      <c r="Y9" s="13">
        <v>184746</v>
      </c>
      <c r="Z9" s="13">
        <v>762806</v>
      </c>
      <c r="AA9" s="13">
        <v>571006</v>
      </c>
      <c r="AB9" s="13">
        <v>378773</v>
      </c>
      <c r="AC9" s="13">
        <v>183096</v>
      </c>
      <c r="AD9" s="13">
        <v>735130</v>
      </c>
      <c r="AE9" s="13">
        <v>546548</v>
      </c>
      <c r="AF9" s="13">
        <v>359679</v>
      </c>
      <c r="AG9" s="13">
        <v>181967</v>
      </c>
      <c r="AH9" s="13">
        <v>745518</v>
      </c>
      <c r="AI9" s="13">
        <v>556362</v>
      </c>
      <c r="AJ9" s="13">
        <v>377971</v>
      </c>
      <c r="AK9" s="13">
        <v>188490</v>
      </c>
      <c r="AL9" s="13">
        <v>696373</v>
      </c>
      <c r="AM9" s="13">
        <f>144200+154014+190280</f>
        <v>488494</v>
      </c>
      <c r="AN9" s="13">
        <f>144200+154014</f>
        <v>298214</v>
      </c>
      <c r="AO9" s="13">
        <v>144200</v>
      </c>
      <c r="AP9" s="13">
        <v>565891</v>
      </c>
      <c r="AQ9" s="13">
        <v>370522</v>
      </c>
      <c r="AR9" s="13">
        <v>242504</v>
      </c>
      <c r="AS9" s="13">
        <v>120099</v>
      </c>
      <c r="AT9" s="13">
        <v>505822</v>
      </c>
      <c r="AU9" s="13">
        <v>371193</v>
      </c>
      <c r="AV9" s="13">
        <v>244670</v>
      </c>
      <c r="AW9" s="13">
        <v>120204</v>
      </c>
      <c r="AX9" s="13">
        <v>501731</v>
      </c>
      <c r="AY9" s="13">
        <v>360563</v>
      </c>
      <c r="AZ9" s="13">
        <v>260214</v>
      </c>
      <c r="BA9" s="13">
        <v>129394</v>
      </c>
      <c r="BB9" s="13">
        <v>535699</v>
      </c>
    </row>
    <row r="10" spans="1:59" s="21" customFormat="1" ht="11.25">
      <c r="A10" s="4" t="s">
        <v>11</v>
      </c>
      <c r="B10" s="5" t="s">
        <v>70</v>
      </c>
      <c r="C10" s="5"/>
      <c r="D10" s="5"/>
      <c r="F10" s="13">
        <v>-35978</v>
      </c>
      <c r="G10" s="13">
        <v>-26904</v>
      </c>
      <c r="H10" s="13">
        <v>-17403</v>
      </c>
      <c r="I10" s="13">
        <v>-8574</v>
      </c>
      <c r="J10" s="13">
        <v>-33237</v>
      </c>
      <c r="K10" s="13">
        <v>-24522</v>
      </c>
      <c r="L10" s="13">
        <v>-16257</v>
      </c>
      <c r="M10" s="13">
        <v>-8103</v>
      </c>
      <c r="N10" s="13">
        <v>-35781</v>
      </c>
      <c r="O10" s="13">
        <v>-27344</v>
      </c>
      <c r="P10" s="13">
        <v>-17540</v>
      </c>
      <c r="Q10" s="13">
        <v>-8817</v>
      </c>
      <c r="R10" s="13">
        <v>-48455</v>
      </c>
      <c r="S10" s="13">
        <v>-38172</v>
      </c>
      <c r="T10" s="13">
        <v>-24755</v>
      </c>
      <c r="U10" s="13">
        <v>-12573</v>
      </c>
      <c r="V10" s="13">
        <v>-52928</v>
      </c>
      <c r="W10" s="13">
        <v>-40099</v>
      </c>
      <c r="X10" s="13">
        <v>-26454</v>
      </c>
      <c r="Y10" s="13">
        <v>-13457</v>
      </c>
      <c r="Z10" s="13">
        <v>-54865</v>
      </c>
      <c r="AA10" s="13">
        <v>-40576</v>
      </c>
      <c r="AB10" s="13">
        <v>-25247</v>
      </c>
      <c r="AC10" s="13">
        <v>-11292</v>
      </c>
      <c r="AD10" s="13">
        <v>-41436</v>
      </c>
      <c r="AE10" s="13">
        <v>-30429</v>
      </c>
      <c r="AF10" s="13">
        <v>-18693</v>
      </c>
      <c r="AG10" s="13">
        <v>-9757</v>
      </c>
      <c r="AH10" s="13">
        <v>-55394</v>
      </c>
      <c r="AI10" s="13">
        <v>-40677</v>
      </c>
      <c r="AJ10" s="13">
        <v>-27143</v>
      </c>
      <c r="AK10" s="13">
        <v>-12292</v>
      </c>
      <c r="AL10" s="13">
        <v>-58406</v>
      </c>
      <c r="AM10" s="13">
        <f>-13060-14847-15124</f>
        <v>-43031</v>
      </c>
      <c r="AN10" s="13">
        <f>-13060-14847</f>
        <v>-27907</v>
      </c>
      <c r="AO10" s="13">
        <v>-13060</v>
      </c>
      <c r="AP10" s="13">
        <v>-50000</v>
      </c>
      <c r="AQ10" s="13">
        <v>-36956</v>
      </c>
      <c r="AR10" s="13">
        <v>-23640</v>
      </c>
      <c r="AS10" s="13">
        <v>-10894</v>
      </c>
      <c r="AT10" s="13">
        <v>-53977</v>
      </c>
      <c r="AU10" s="13">
        <v>-41031</v>
      </c>
      <c r="AV10" s="13">
        <v>-24912</v>
      </c>
      <c r="AW10" s="13">
        <v>-12594</v>
      </c>
      <c r="AX10" s="13">
        <v>-58327</v>
      </c>
      <c r="AY10" s="13">
        <v>-41608</v>
      </c>
      <c r="AZ10" s="13">
        <v>-27916</v>
      </c>
      <c r="BA10" s="13">
        <v>-12330</v>
      </c>
      <c r="BB10" s="13">
        <v>-53375</v>
      </c>
    </row>
    <row r="11" spans="1:59" s="21" customFormat="1" ht="11.25">
      <c r="A11" s="4" t="s">
        <v>13</v>
      </c>
      <c r="B11" s="8" t="s">
        <v>71</v>
      </c>
      <c r="C11" s="8"/>
      <c r="D11" s="8"/>
      <c r="E11" s="40"/>
      <c r="F11" s="14">
        <v>740628</v>
      </c>
      <c r="G11" s="14">
        <v>544026</v>
      </c>
      <c r="H11" s="14">
        <v>359224</v>
      </c>
      <c r="I11" s="14">
        <v>177373</v>
      </c>
      <c r="J11" s="14">
        <v>712722</v>
      </c>
      <c r="K11" s="14">
        <v>532921</v>
      </c>
      <c r="L11" s="14">
        <v>358118</v>
      </c>
      <c r="M11" s="14">
        <v>177083</v>
      </c>
      <c r="N11" s="14">
        <v>726693</v>
      </c>
      <c r="O11" s="14">
        <v>537697</v>
      </c>
      <c r="P11" s="14">
        <v>359853</v>
      </c>
      <c r="Q11" s="14">
        <v>179203</v>
      </c>
      <c r="R11" s="14">
        <v>690664</v>
      </c>
      <c r="S11" s="14">
        <v>514490</v>
      </c>
      <c r="T11" s="14">
        <v>345478</v>
      </c>
      <c r="U11" s="14">
        <v>171450</v>
      </c>
      <c r="V11" s="14">
        <v>698258</v>
      </c>
      <c r="W11" s="14">
        <v>519486</v>
      </c>
      <c r="X11" s="14">
        <v>346811</v>
      </c>
      <c r="Y11" s="14">
        <v>171289</v>
      </c>
      <c r="Z11" s="14">
        <v>707941</v>
      </c>
      <c r="AA11" s="14">
        <v>530430</v>
      </c>
      <c r="AB11" s="14">
        <v>353526</v>
      </c>
      <c r="AC11" s="14">
        <v>171804</v>
      </c>
      <c r="AD11" s="14">
        <v>693694</v>
      </c>
      <c r="AE11" s="14">
        <v>516119</v>
      </c>
      <c r="AF11" s="14">
        <v>340986</v>
      </c>
      <c r="AG11" s="14">
        <v>172210</v>
      </c>
      <c r="AH11" s="14">
        <v>690124</v>
      </c>
      <c r="AI11" s="14">
        <v>515685</v>
      </c>
      <c r="AJ11" s="14">
        <v>350828</v>
      </c>
      <c r="AK11" s="14">
        <v>176198</v>
      </c>
      <c r="AL11" s="14">
        <f>+AL9+AL10</f>
        <v>637967</v>
      </c>
      <c r="AM11" s="14">
        <f>+AM9+AM10</f>
        <v>445463</v>
      </c>
      <c r="AN11" s="14">
        <f>+AN9+AN10</f>
        <v>270307</v>
      </c>
      <c r="AO11" s="14">
        <f>+AO9+AO10</f>
        <v>131140</v>
      </c>
      <c r="AP11" s="14">
        <v>515891</v>
      </c>
      <c r="AQ11" s="14">
        <f>SUM(AQ9:AQ10)</f>
        <v>333566</v>
      </c>
      <c r="AR11" s="14">
        <f>SUM(AR9:AR10)</f>
        <v>218864</v>
      </c>
      <c r="AS11" s="14">
        <f>SUM(AS9:AS10)</f>
        <v>109205</v>
      </c>
      <c r="AT11" s="14">
        <v>451845</v>
      </c>
      <c r="AU11" s="14">
        <v>330162</v>
      </c>
      <c r="AV11" s="14">
        <v>219758</v>
      </c>
      <c r="AW11" s="14">
        <v>107610</v>
      </c>
      <c r="AX11" s="14">
        <v>443404</v>
      </c>
      <c r="AY11" s="14">
        <v>318955</v>
      </c>
      <c r="AZ11" s="14">
        <v>232298</v>
      </c>
      <c r="BA11" s="14">
        <v>117064</v>
      </c>
      <c r="BB11" s="14">
        <v>482324</v>
      </c>
    </row>
    <row r="12" spans="1:59" s="21" customFormat="1" ht="11.25">
      <c r="A12" s="4" t="s">
        <v>15</v>
      </c>
      <c r="B12" s="5" t="s">
        <v>72</v>
      </c>
      <c r="C12" s="5"/>
      <c r="D12" s="5"/>
      <c r="F12" s="13">
        <v>12416</v>
      </c>
      <c r="G12" s="13">
        <v>11631</v>
      </c>
      <c r="H12" s="13">
        <v>11124</v>
      </c>
      <c r="I12" s="13">
        <v>312</v>
      </c>
      <c r="J12" s="13">
        <v>9872</v>
      </c>
      <c r="K12" s="13">
        <v>9156</v>
      </c>
      <c r="L12" s="13">
        <v>8818</v>
      </c>
      <c r="M12" s="13">
        <v>86</v>
      </c>
      <c r="N12" s="13">
        <v>15953</v>
      </c>
      <c r="O12" s="13">
        <v>14289</v>
      </c>
      <c r="P12" s="13">
        <v>13832</v>
      </c>
      <c r="Q12" s="13">
        <v>249</v>
      </c>
      <c r="R12" s="13">
        <v>19392</v>
      </c>
      <c r="S12" s="13">
        <v>18306</v>
      </c>
      <c r="T12" s="13">
        <v>18191</v>
      </c>
      <c r="U12" s="13">
        <v>574</v>
      </c>
      <c r="V12" s="13">
        <v>24086</v>
      </c>
      <c r="W12" s="13">
        <v>23530</v>
      </c>
      <c r="X12" s="13">
        <v>22990</v>
      </c>
      <c r="Y12" s="13">
        <v>575</v>
      </c>
      <c r="Z12" s="13">
        <v>5003</v>
      </c>
      <c r="AA12" s="13">
        <v>4547</v>
      </c>
      <c r="AB12" s="13">
        <v>4208</v>
      </c>
      <c r="AC12" s="13">
        <v>920</v>
      </c>
      <c r="AD12" s="13">
        <v>7298</v>
      </c>
      <c r="AE12" s="13">
        <v>5381</v>
      </c>
      <c r="AF12" s="13">
        <v>4804</v>
      </c>
      <c r="AG12" s="13">
        <v>825</v>
      </c>
      <c r="AH12" s="13">
        <v>5009</v>
      </c>
      <c r="AI12" s="13">
        <v>4789</v>
      </c>
      <c r="AJ12" s="13">
        <v>4535</v>
      </c>
      <c r="AK12" s="13">
        <v>1736</v>
      </c>
      <c r="AL12" s="13">
        <v>6139</v>
      </c>
      <c r="AM12" s="13">
        <f>1088+4852+448</f>
        <v>6388</v>
      </c>
      <c r="AN12" s="13">
        <f>1088+4852</f>
        <v>5940</v>
      </c>
      <c r="AO12" s="13">
        <v>1088</v>
      </c>
      <c r="AP12" s="13">
        <v>15993</v>
      </c>
      <c r="AQ12" s="13">
        <v>15257</v>
      </c>
      <c r="AR12" s="13">
        <v>14452</v>
      </c>
      <c r="AS12" s="13">
        <v>1075</v>
      </c>
      <c r="AT12" s="13">
        <v>22172</v>
      </c>
      <c r="AU12" s="13">
        <v>17630</v>
      </c>
      <c r="AV12" s="13">
        <v>17007</v>
      </c>
      <c r="AW12" s="13">
        <v>954</v>
      </c>
      <c r="AX12" s="13">
        <v>19127</v>
      </c>
      <c r="AY12" s="13">
        <v>18958</v>
      </c>
      <c r="AZ12" s="13">
        <v>17519</v>
      </c>
      <c r="BA12" s="13">
        <v>1456</v>
      </c>
      <c r="BB12" s="13">
        <v>17830</v>
      </c>
    </row>
    <row r="13" spans="1:59" s="21" customFormat="1" ht="11.25">
      <c r="A13" s="4" t="s">
        <v>17</v>
      </c>
      <c r="B13" s="5" t="s">
        <v>73</v>
      </c>
      <c r="C13" s="5"/>
      <c r="D13" s="5"/>
      <c r="F13" s="13">
        <v>38015</v>
      </c>
      <c r="G13" s="13">
        <v>33275</v>
      </c>
      <c r="H13" s="13">
        <v>19989</v>
      </c>
      <c r="I13" s="13">
        <v>10920</v>
      </c>
      <c r="J13" s="13">
        <v>7944</v>
      </c>
      <c r="K13" s="13">
        <v>-17706</v>
      </c>
      <c r="L13" s="13">
        <v>-29757</v>
      </c>
      <c r="M13" s="13">
        <v>-25801</v>
      </c>
      <c r="N13" s="13">
        <v>32831</v>
      </c>
      <c r="O13" s="13">
        <v>14995</v>
      </c>
      <c r="P13" s="13">
        <v>14404</v>
      </c>
      <c r="Q13" s="13">
        <v>20413</v>
      </c>
      <c r="R13" s="13">
        <v>16533</v>
      </c>
      <c r="S13" s="13">
        <v>14342</v>
      </c>
      <c r="T13" s="13">
        <v>9936</v>
      </c>
      <c r="U13" s="13">
        <v>4290</v>
      </c>
      <c r="V13" s="13">
        <v>48113</v>
      </c>
      <c r="W13" s="13">
        <v>32874</v>
      </c>
      <c r="X13" s="13">
        <v>20358</v>
      </c>
      <c r="Y13" s="13">
        <v>8317</v>
      </c>
      <c r="Z13" s="13">
        <v>98377</v>
      </c>
      <c r="AA13" s="13">
        <v>90382</v>
      </c>
      <c r="AB13" s="13">
        <v>52423</v>
      </c>
      <c r="AC13" s="13">
        <v>72137</v>
      </c>
      <c r="AD13" s="13">
        <v>-70102</v>
      </c>
      <c r="AE13" s="13">
        <v>-46783</v>
      </c>
      <c r="AF13" s="13">
        <v>14783</v>
      </c>
      <c r="AG13" s="13">
        <v>23909</v>
      </c>
      <c r="AH13" s="13">
        <v>-17586</v>
      </c>
      <c r="AI13" s="13">
        <v>-3010</v>
      </c>
      <c r="AJ13" s="13">
        <v>-14320</v>
      </c>
      <c r="AK13" s="13">
        <v>14047</v>
      </c>
      <c r="AL13" s="13">
        <v>125598</v>
      </c>
      <c r="AM13" s="13">
        <f>15591+49547+47308</f>
        <v>112446</v>
      </c>
      <c r="AN13" s="13">
        <f>15591+49547</f>
        <v>65138</v>
      </c>
      <c r="AO13" s="13">
        <v>15591</v>
      </c>
      <c r="AP13" s="13">
        <v>-68306</v>
      </c>
      <c r="AQ13" s="13">
        <v>-12483</v>
      </c>
      <c r="AR13" s="13">
        <v>-14758</v>
      </c>
      <c r="AS13" s="13">
        <v>-2301</v>
      </c>
      <c r="AT13" s="13">
        <v>-102143</v>
      </c>
      <c r="AU13" s="13">
        <v>-56135</v>
      </c>
      <c r="AV13" s="13">
        <v>-35857</v>
      </c>
      <c r="AW13" s="13">
        <v>-6546</v>
      </c>
      <c r="AX13" s="13">
        <v>-59559</v>
      </c>
      <c r="AY13" s="13">
        <v>-41584</v>
      </c>
      <c r="AZ13" s="13">
        <v>-26293</v>
      </c>
      <c r="BA13" s="13">
        <v>-13680</v>
      </c>
      <c r="BB13" s="13">
        <v>-51258</v>
      </c>
    </row>
    <row r="14" spans="1:59" s="21" customFormat="1" ht="11.25">
      <c r="A14" s="4" t="s">
        <v>41</v>
      </c>
      <c r="B14" s="5" t="s">
        <v>74</v>
      </c>
      <c r="C14" s="5"/>
      <c r="D14" s="5"/>
      <c r="F14" s="13">
        <v>-493</v>
      </c>
      <c r="G14" s="13">
        <v>-228</v>
      </c>
      <c r="H14" s="13">
        <v>-259</v>
      </c>
      <c r="I14" s="13">
        <v>-300</v>
      </c>
      <c r="J14" s="13">
        <v>-335</v>
      </c>
      <c r="K14" s="13">
        <v>-91</v>
      </c>
      <c r="L14" s="13">
        <v>38</v>
      </c>
      <c r="M14" s="13">
        <v>120</v>
      </c>
      <c r="N14" s="13">
        <v>-889</v>
      </c>
      <c r="O14" s="13">
        <v>-799</v>
      </c>
      <c r="P14" s="13">
        <v>-165</v>
      </c>
      <c r="Q14" s="13">
        <v>355</v>
      </c>
      <c r="R14" s="13">
        <v>1074</v>
      </c>
      <c r="S14" s="13">
        <v>835</v>
      </c>
      <c r="T14" s="13">
        <v>322</v>
      </c>
      <c r="U14" s="13">
        <v>231</v>
      </c>
      <c r="V14" s="13">
        <v>-592</v>
      </c>
      <c r="W14" s="13">
        <v>-191</v>
      </c>
      <c r="X14" s="13">
        <v>-206</v>
      </c>
      <c r="Y14" s="13">
        <v>-280</v>
      </c>
      <c r="Z14" s="13">
        <v>-1234</v>
      </c>
      <c r="AA14" s="13">
        <v>-1074</v>
      </c>
      <c r="AB14" s="13">
        <v>-691</v>
      </c>
      <c r="AC14" s="13">
        <v>-329</v>
      </c>
      <c r="AD14" s="13">
        <v>-1182</v>
      </c>
      <c r="AE14" s="13">
        <v>-939</v>
      </c>
      <c r="AF14" s="13">
        <v>3</v>
      </c>
      <c r="AG14" s="13">
        <v>74</v>
      </c>
      <c r="AH14" s="13">
        <v>168</v>
      </c>
      <c r="AI14" s="13">
        <v>138</v>
      </c>
      <c r="AJ14" s="13">
        <v>91</v>
      </c>
      <c r="AK14" s="13">
        <v>66</v>
      </c>
      <c r="AL14" s="13">
        <v>371</v>
      </c>
      <c r="AM14" s="13">
        <f>-127+533+195</f>
        <v>601</v>
      </c>
      <c r="AN14" s="13">
        <f>-127+533</f>
        <v>406</v>
      </c>
      <c r="AO14" s="13">
        <v>-127</v>
      </c>
      <c r="AP14" s="13">
        <v>232</v>
      </c>
      <c r="AQ14" s="13">
        <v>-420</v>
      </c>
      <c r="AR14" s="13">
        <v>-251</v>
      </c>
      <c r="AS14" s="13">
        <v>432</v>
      </c>
      <c r="AT14" s="13">
        <v>0</v>
      </c>
      <c r="AU14" s="13">
        <v>0</v>
      </c>
      <c r="AV14" s="13">
        <v>0</v>
      </c>
      <c r="AW14" s="13">
        <v>0</v>
      </c>
      <c r="AX14" s="13">
        <v>0</v>
      </c>
      <c r="AY14" s="13">
        <v>0</v>
      </c>
      <c r="AZ14" s="13">
        <v>0</v>
      </c>
      <c r="BA14" s="13">
        <v>0</v>
      </c>
      <c r="BB14" s="13">
        <v>0</v>
      </c>
    </row>
    <row r="15" spans="1:59" s="21" customFormat="1" ht="11.25">
      <c r="A15" s="4" t="s">
        <v>19</v>
      </c>
      <c r="B15" s="5" t="s">
        <v>75</v>
      </c>
      <c r="C15" s="5"/>
      <c r="D15" s="5"/>
      <c r="F15" s="13">
        <v>64374</v>
      </c>
      <c r="G15" s="13">
        <v>37372</v>
      </c>
      <c r="H15" s="13">
        <v>30386</v>
      </c>
      <c r="I15" s="13">
        <v>13630</v>
      </c>
      <c r="J15" s="13">
        <v>107662</v>
      </c>
      <c r="K15" s="13">
        <v>103674</v>
      </c>
      <c r="L15" s="13">
        <v>92475</v>
      </c>
      <c r="M15" s="13">
        <v>37346</v>
      </c>
      <c r="N15" s="13">
        <v>315466</v>
      </c>
      <c r="O15" s="13">
        <v>67129</v>
      </c>
      <c r="P15" s="13">
        <v>44320</v>
      </c>
      <c r="Q15" s="13">
        <v>28438</v>
      </c>
      <c r="R15" s="13">
        <v>164299</v>
      </c>
      <c r="S15" s="13">
        <v>126057</v>
      </c>
      <c r="T15" s="13">
        <v>100421</v>
      </c>
      <c r="U15" s="13">
        <v>67761</v>
      </c>
      <c r="V15" s="13">
        <v>165578</v>
      </c>
      <c r="W15" s="13">
        <v>112496</v>
      </c>
      <c r="X15" s="13">
        <v>98158</v>
      </c>
      <c r="Y15" s="13">
        <v>24834</v>
      </c>
      <c r="Z15" s="13">
        <v>91980</v>
      </c>
      <c r="AA15" s="13">
        <v>50039</v>
      </c>
      <c r="AB15" s="13">
        <v>33044</v>
      </c>
      <c r="AC15" s="13">
        <v>11984</v>
      </c>
      <c r="AD15" s="13">
        <v>11318</v>
      </c>
      <c r="AE15" s="13">
        <v>11957</v>
      </c>
      <c r="AF15" s="13">
        <v>10104</v>
      </c>
      <c r="AG15" s="13">
        <v>95</v>
      </c>
      <c r="AH15" s="13">
        <v>34316</v>
      </c>
      <c r="AI15" s="13">
        <v>35824</v>
      </c>
      <c r="AJ15" s="13">
        <v>34675</v>
      </c>
      <c r="AK15" s="13">
        <v>48</v>
      </c>
      <c r="AL15" s="13">
        <f>+AL16+AL17+AL18+AL19</f>
        <v>18893</v>
      </c>
      <c r="AM15" s="13">
        <f>+AM16+AM17+AM18+AM19</f>
        <v>17742</v>
      </c>
      <c r="AN15" s="13">
        <f>+AN16+AN17+AN18+AN19</f>
        <v>15275</v>
      </c>
      <c r="AO15" s="13">
        <f>+AO16+AO17+AO18+AO19</f>
        <v>13036</v>
      </c>
      <c r="AP15" s="13">
        <v>14833</v>
      </c>
      <c r="AQ15" s="13">
        <f>+AQ16+AQ17+AQ19</f>
        <v>8085</v>
      </c>
      <c r="AR15" s="13">
        <f>+AR16+AR17+AR18+AR19</f>
        <v>7450</v>
      </c>
      <c r="AS15" s="13">
        <v>587</v>
      </c>
      <c r="AT15" s="13">
        <v>39345</v>
      </c>
      <c r="AU15" s="13">
        <v>29342</v>
      </c>
      <c r="AV15" s="13">
        <v>28794</v>
      </c>
      <c r="AW15" s="13">
        <v>20760</v>
      </c>
      <c r="AX15" s="13">
        <v>63779</v>
      </c>
      <c r="AY15" s="13">
        <v>49940</v>
      </c>
      <c r="AZ15" s="13">
        <v>43881</v>
      </c>
      <c r="BA15" s="13">
        <v>8894</v>
      </c>
      <c r="BB15" s="13">
        <v>3309</v>
      </c>
    </row>
    <row r="16" spans="1:59" s="21" customFormat="1" ht="11.25">
      <c r="A16" s="4"/>
      <c r="B16" s="5" t="s">
        <v>76</v>
      </c>
      <c r="C16" s="5"/>
      <c r="D16" s="5"/>
      <c r="F16" s="13">
        <v>-12431</v>
      </c>
      <c r="G16" s="13">
        <v>-13022</v>
      </c>
      <c r="H16" s="13">
        <v>-7852</v>
      </c>
      <c r="I16" s="13">
        <v>1253</v>
      </c>
      <c r="J16" s="13">
        <v>-9748</v>
      </c>
      <c r="K16" s="13">
        <v>-3461</v>
      </c>
      <c r="L16" s="13">
        <v>1034</v>
      </c>
      <c r="M16" s="13">
        <v>7</v>
      </c>
      <c r="N16" s="13">
        <v>4023</v>
      </c>
      <c r="O16" s="13">
        <v>4205</v>
      </c>
      <c r="P16" s="13">
        <v>4405</v>
      </c>
      <c r="Q16" s="13">
        <v>3804</v>
      </c>
      <c r="R16" s="13">
        <v>-29959</v>
      </c>
      <c r="S16" s="13">
        <v>-29550</v>
      </c>
      <c r="T16" s="13">
        <v>166</v>
      </c>
      <c r="U16" s="13">
        <v>107</v>
      </c>
      <c r="V16" s="13">
        <v>-929</v>
      </c>
      <c r="W16" s="13">
        <v>-1215</v>
      </c>
      <c r="X16" s="13">
        <v>-687</v>
      </c>
      <c r="Y16" s="13">
        <v>36</v>
      </c>
      <c r="Z16" s="13">
        <v>-774</v>
      </c>
      <c r="AA16" s="13">
        <v>-468</v>
      </c>
      <c r="AB16" s="13">
        <v>-346</v>
      </c>
      <c r="AC16" s="13">
        <v>169</v>
      </c>
      <c r="AD16" s="13">
        <v>219</v>
      </c>
      <c r="AE16" s="13">
        <v>995</v>
      </c>
      <c r="AF16" s="13">
        <v>987</v>
      </c>
      <c r="AG16" s="13">
        <v>492</v>
      </c>
      <c r="AH16" s="13">
        <v>-2348</v>
      </c>
      <c r="AI16" s="13">
        <v>203</v>
      </c>
      <c r="AJ16" s="13">
        <v>619</v>
      </c>
      <c r="AK16" s="13">
        <v>311</v>
      </c>
      <c r="AL16" s="13">
        <v>528</v>
      </c>
      <c r="AM16" s="13">
        <f>322-166+166</f>
        <v>322</v>
      </c>
      <c r="AN16" s="13">
        <f>322-166</f>
        <v>156</v>
      </c>
      <c r="AO16" s="13">
        <v>322</v>
      </c>
      <c r="AP16" s="13">
        <v>1</v>
      </c>
      <c r="AQ16" s="13">
        <v>0</v>
      </c>
      <c r="AR16" s="13">
        <v>0</v>
      </c>
      <c r="AS16" s="13">
        <v>0</v>
      </c>
      <c r="AT16" s="13">
        <v>-5</v>
      </c>
      <c r="AU16" s="13">
        <v>-5</v>
      </c>
      <c r="AV16" s="13">
        <v>0</v>
      </c>
      <c r="AW16" s="13">
        <v>1</v>
      </c>
      <c r="AX16" s="13">
        <v>54</v>
      </c>
      <c r="AY16" s="13">
        <v>1022</v>
      </c>
      <c r="AZ16" s="13">
        <v>54</v>
      </c>
      <c r="BA16" s="13">
        <v>15</v>
      </c>
      <c r="BB16" s="13">
        <v>38</v>
      </c>
    </row>
    <row r="17" spans="1:54" s="21" customFormat="1" ht="11.25">
      <c r="A17" s="4"/>
      <c r="B17" s="5" t="s">
        <v>77</v>
      </c>
      <c r="C17" s="5"/>
      <c r="D17" s="5"/>
      <c r="F17" s="13">
        <v>76024</v>
      </c>
      <c r="G17" s="13">
        <v>49871</v>
      </c>
      <c r="H17" s="13">
        <v>37844</v>
      </c>
      <c r="I17" s="13">
        <v>12378</v>
      </c>
      <c r="J17" s="13">
        <v>118627</v>
      </c>
      <c r="K17" s="13">
        <v>108280</v>
      </c>
      <c r="L17" s="13">
        <v>92447</v>
      </c>
      <c r="M17" s="13">
        <v>38237</v>
      </c>
      <c r="N17" s="13">
        <v>313171</v>
      </c>
      <c r="O17" s="13">
        <v>63626</v>
      </c>
      <c r="P17" s="13">
        <v>40578</v>
      </c>
      <c r="Q17" s="13">
        <v>25092</v>
      </c>
      <c r="R17" s="13">
        <v>194546</v>
      </c>
      <c r="S17" s="13">
        <v>155607</v>
      </c>
      <c r="T17" s="13">
        <v>100214</v>
      </c>
      <c r="U17" s="13">
        <v>67430</v>
      </c>
      <c r="V17" s="13">
        <v>162054</v>
      </c>
      <c r="W17" s="13">
        <v>110062</v>
      </c>
      <c r="X17" s="13">
        <v>97421</v>
      </c>
      <c r="Y17" s="13">
        <v>23417</v>
      </c>
      <c r="Z17" s="13">
        <v>68014</v>
      </c>
      <c r="AA17" s="13">
        <v>25990</v>
      </c>
      <c r="AB17" s="13">
        <v>10726</v>
      </c>
      <c r="AC17" s="13">
        <v>11077</v>
      </c>
      <c r="AD17" s="13">
        <v>5346</v>
      </c>
      <c r="AE17" s="13">
        <v>5408</v>
      </c>
      <c r="AF17" s="13">
        <v>4925</v>
      </c>
      <c r="AG17" s="13">
        <v>-65</v>
      </c>
      <c r="AH17" s="13">
        <v>38315</v>
      </c>
      <c r="AI17" s="13">
        <v>36923</v>
      </c>
      <c r="AJ17" s="13">
        <v>34943</v>
      </c>
      <c r="AK17" s="13">
        <v>-111</v>
      </c>
      <c r="AL17" s="13">
        <v>6492</v>
      </c>
      <c r="AM17" s="13">
        <f>977+1957+2576</f>
        <v>5510</v>
      </c>
      <c r="AN17" s="13">
        <f>977+1957</f>
        <v>2934</v>
      </c>
      <c r="AO17" s="13">
        <v>977</v>
      </c>
      <c r="AP17" s="13">
        <v>6618</v>
      </c>
      <c r="AQ17" s="13">
        <v>6289</v>
      </c>
      <c r="AR17" s="13">
        <v>6230</v>
      </c>
      <c r="AS17" s="13">
        <v>12</v>
      </c>
      <c r="AT17" s="13">
        <v>40032</v>
      </c>
      <c r="AU17" s="13">
        <v>30579</v>
      </c>
      <c r="AV17" s="13">
        <v>30656</v>
      </c>
      <c r="AW17" s="13">
        <v>20282</v>
      </c>
      <c r="AX17" s="13">
        <v>62636</v>
      </c>
      <c r="AY17" s="13">
        <v>48245</v>
      </c>
      <c r="AZ17" s="13">
        <v>43533</v>
      </c>
      <c r="BA17" s="13">
        <v>8902</v>
      </c>
      <c r="BB17" s="13">
        <v>11790</v>
      </c>
    </row>
    <row r="18" spans="1:54" s="21" customFormat="1" ht="12.75" customHeight="1">
      <c r="A18" s="4"/>
      <c r="B18" s="5" t="s">
        <v>78</v>
      </c>
      <c r="C18" s="5"/>
      <c r="D18" s="5"/>
      <c r="F18" s="13">
        <v>316</v>
      </c>
      <c r="G18" s="13">
        <v>316</v>
      </c>
      <c r="H18" s="13">
        <v>316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221</v>
      </c>
      <c r="O18" s="13">
        <v>208</v>
      </c>
      <c r="P18" s="13">
        <v>208</v>
      </c>
      <c r="Q18" s="13">
        <v>-92</v>
      </c>
      <c r="R18" s="13">
        <v>0</v>
      </c>
      <c r="S18" s="13">
        <v>0</v>
      </c>
      <c r="T18" s="13">
        <v>0</v>
      </c>
      <c r="U18" s="13">
        <v>0</v>
      </c>
      <c r="V18" s="13">
        <v>0</v>
      </c>
      <c r="W18" s="13">
        <v>0</v>
      </c>
      <c r="X18" s="13">
        <v>0</v>
      </c>
      <c r="Y18" s="13">
        <v>0</v>
      </c>
      <c r="Z18" s="13">
        <v>-179</v>
      </c>
      <c r="AA18" s="13">
        <v>-179</v>
      </c>
      <c r="AB18" s="13">
        <v>-179</v>
      </c>
      <c r="AC18" s="13">
        <v>-179</v>
      </c>
      <c r="AD18" s="13">
        <v>0</v>
      </c>
      <c r="AE18" s="13">
        <v>1</v>
      </c>
      <c r="AF18" s="13">
        <v>0</v>
      </c>
      <c r="AG18" s="13">
        <v>9</v>
      </c>
      <c r="AH18" s="13">
        <v>0</v>
      </c>
      <c r="AI18" s="13">
        <v>0</v>
      </c>
      <c r="AJ18" s="13">
        <v>0</v>
      </c>
      <c r="AK18" s="13">
        <v>0</v>
      </c>
      <c r="AL18" s="13">
        <v>-12</v>
      </c>
      <c r="AM18" s="13">
        <v>-13</v>
      </c>
      <c r="AN18" s="13">
        <v>0</v>
      </c>
      <c r="AO18" s="13">
        <v>0</v>
      </c>
      <c r="AP18" s="13">
        <v>0</v>
      </c>
      <c r="AQ18" s="13">
        <v>0</v>
      </c>
      <c r="AR18" s="13">
        <v>0</v>
      </c>
      <c r="AS18" s="13">
        <v>0</v>
      </c>
      <c r="AT18" s="13">
        <v>0</v>
      </c>
      <c r="AU18" s="13">
        <v>0</v>
      </c>
      <c r="AV18" s="13">
        <v>0</v>
      </c>
      <c r="AW18" s="13">
        <v>0</v>
      </c>
      <c r="AX18" s="13">
        <v>0</v>
      </c>
      <c r="AY18" s="13">
        <v>0</v>
      </c>
      <c r="AZ18" s="13">
        <v>0</v>
      </c>
      <c r="BA18" s="13">
        <v>0</v>
      </c>
      <c r="BB18" s="13">
        <v>0</v>
      </c>
    </row>
    <row r="19" spans="1:54" s="21" customFormat="1" ht="11.25">
      <c r="A19" s="4"/>
      <c r="B19" s="5" t="s">
        <v>79</v>
      </c>
      <c r="C19" s="5"/>
      <c r="D19" s="5"/>
      <c r="F19" s="13">
        <v>465</v>
      </c>
      <c r="G19" s="13">
        <v>207</v>
      </c>
      <c r="H19" s="13">
        <v>78</v>
      </c>
      <c r="I19" s="13">
        <v>-1</v>
      </c>
      <c r="J19" s="13">
        <v>-1217</v>
      </c>
      <c r="K19" s="13">
        <v>-1145</v>
      </c>
      <c r="L19" s="13">
        <v>-1006</v>
      </c>
      <c r="M19" s="13">
        <v>-898</v>
      </c>
      <c r="N19" s="13">
        <v>-1949</v>
      </c>
      <c r="O19" s="13">
        <v>-910</v>
      </c>
      <c r="P19" s="13">
        <v>-871</v>
      </c>
      <c r="Q19" s="13">
        <v>-366</v>
      </c>
      <c r="R19" s="13">
        <v>-288</v>
      </c>
      <c r="S19" s="13">
        <v>0</v>
      </c>
      <c r="T19" s="13">
        <v>41</v>
      </c>
      <c r="U19" s="13">
        <v>224</v>
      </c>
      <c r="V19" s="13">
        <v>4453</v>
      </c>
      <c r="W19" s="13">
        <v>3649</v>
      </c>
      <c r="X19" s="13">
        <v>1424</v>
      </c>
      <c r="Y19" s="13">
        <v>1381</v>
      </c>
      <c r="Z19" s="13">
        <v>24919</v>
      </c>
      <c r="AA19" s="13">
        <v>24696</v>
      </c>
      <c r="AB19" s="13">
        <v>22843</v>
      </c>
      <c r="AC19" s="13">
        <v>917</v>
      </c>
      <c r="AD19" s="13">
        <v>5753</v>
      </c>
      <c r="AE19" s="13">
        <v>5553</v>
      </c>
      <c r="AF19" s="13">
        <v>4192</v>
      </c>
      <c r="AG19" s="13">
        <v>-341</v>
      </c>
      <c r="AH19" s="13">
        <v>-1651</v>
      </c>
      <c r="AI19" s="13">
        <v>-1302</v>
      </c>
      <c r="AJ19" s="13">
        <v>-887</v>
      </c>
      <c r="AK19" s="13">
        <v>-152</v>
      </c>
      <c r="AL19" s="13">
        <v>11885</v>
      </c>
      <c r="AM19" s="13">
        <f>11737+448-262</f>
        <v>11923</v>
      </c>
      <c r="AN19" s="13">
        <f>11737+448</f>
        <v>12185</v>
      </c>
      <c r="AO19" s="13">
        <v>11737</v>
      </c>
      <c r="AP19" s="13">
        <v>8214</v>
      </c>
      <c r="AQ19" s="13">
        <v>1796</v>
      </c>
      <c r="AR19" s="13">
        <v>1220</v>
      </c>
      <c r="AS19" s="13">
        <v>575</v>
      </c>
      <c r="AT19" s="13">
        <v>-682</v>
      </c>
      <c r="AU19" s="13">
        <v>-1232</v>
      </c>
      <c r="AV19" s="13">
        <v>-1862</v>
      </c>
      <c r="AW19" s="13">
        <v>477</v>
      </c>
      <c r="AX19" s="13">
        <v>1089</v>
      </c>
      <c r="AY19" s="13">
        <v>673</v>
      </c>
      <c r="AZ19" s="13">
        <v>294</v>
      </c>
      <c r="BA19" s="13">
        <v>-23</v>
      </c>
      <c r="BB19" s="13">
        <v>-8519</v>
      </c>
    </row>
    <row r="20" spans="1:54" s="21" customFormat="1" ht="24" customHeight="1">
      <c r="A20" s="9" t="s">
        <v>44</v>
      </c>
      <c r="B20" s="248" t="s">
        <v>114</v>
      </c>
      <c r="C20" s="248"/>
      <c r="D20" s="248"/>
      <c r="E20" s="248"/>
      <c r="F20" s="13">
        <v>1238</v>
      </c>
      <c r="G20" s="13">
        <v>603</v>
      </c>
      <c r="H20" s="13">
        <v>417</v>
      </c>
      <c r="I20" s="13">
        <v>414</v>
      </c>
      <c r="J20" s="13">
        <v>4728</v>
      </c>
      <c r="K20" s="13">
        <v>4367</v>
      </c>
      <c r="L20" s="13">
        <v>1970</v>
      </c>
      <c r="M20" s="13">
        <v>3997</v>
      </c>
      <c r="N20" s="13">
        <v>476</v>
      </c>
      <c r="O20" s="13">
        <v>557</v>
      </c>
      <c r="P20" s="13">
        <v>2962</v>
      </c>
      <c r="Q20" s="13">
        <v>-3148</v>
      </c>
      <c r="R20" s="13">
        <v>-14241</v>
      </c>
      <c r="S20" s="13">
        <v>-11222</v>
      </c>
      <c r="T20" s="13">
        <v>-990</v>
      </c>
      <c r="U20" s="13">
        <v>-8982</v>
      </c>
      <c r="V20" s="13">
        <v>-73990</v>
      </c>
      <c r="W20" s="13">
        <v>-46820</v>
      </c>
      <c r="X20" s="13">
        <v>-35445</v>
      </c>
      <c r="Y20" s="13">
        <v>-18215</v>
      </c>
      <c r="Z20" s="13">
        <v>-56748</v>
      </c>
      <c r="AA20" s="13">
        <v>-42310</v>
      </c>
      <c r="AB20" s="13">
        <v>-15612</v>
      </c>
      <c r="AC20" s="13">
        <v>-26380</v>
      </c>
      <c r="AD20" s="13">
        <v>129335</v>
      </c>
      <c r="AE20" s="13">
        <v>73950</v>
      </c>
      <c r="AF20" s="13">
        <v>19076</v>
      </c>
      <c r="AG20" s="13">
        <v>-6004</v>
      </c>
      <c r="AH20" s="13">
        <v>30742</v>
      </c>
      <c r="AI20" s="13">
        <v>22016</v>
      </c>
      <c r="AJ20" s="13">
        <v>3343</v>
      </c>
      <c r="AK20" s="13">
        <v>5891</v>
      </c>
      <c r="AL20" s="13">
        <v>27978</v>
      </c>
      <c r="AM20" s="13">
        <f>1153+28434+4383</f>
        <v>33970</v>
      </c>
      <c r="AN20" s="13">
        <f>1153+28434</f>
        <v>29587</v>
      </c>
      <c r="AO20" s="13">
        <v>1153</v>
      </c>
      <c r="AP20" s="13">
        <v>-103877</v>
      </c>
      <c r="AQ20" s="13">
        <v>-56149</v>
      </c>
      <c r="AR20" s="13">
        <v>-35378</v>
      </c>
      <c r="AS20" s="13">
        <v>-23904</v>
      </c>
      <c r="AT20" s="13">
        <v>-17671</v>
      </c>
      <c r="AU20" s="13">
        <v>-5792</v>
      </c>
      <c r="AV20" s="13">
        <v>4695</v>
      </c>
      <c r="AW20" s="13">
        <v>4598</v>
      </c>
      <c r="AX20" s="13">
        <v>16016</v>
      </c>
      <c r="AY20" s="13">
        <v>-1511</v>
      </c>
      <c r="AZ20" s="13">
        <v>-6992</v>
      </c>
      <c r="BA20" s="13">
        <v>10803</v>
      </c>
      <c r="BB20" s="13">
        <v>43842</v>
      </c>
    </row>
    <row r="21" spans="1:54" s="21" customFormat="1" ht="11.25">
      <c r="A21" s="4" t="s">
        <v>21</v>
      </c>
      <c r="B21" s="8" t="s">
        <v>80</v>
      </c>
      <c r="C21" s="8"/>
      <c r="D21" s="8"/>
      <c r="E21" s="40"/>
      <c r="F21" s="14">
        <v>1980657</v>
      </c>
      <c r="G21" s="14">
        <v>1477016</v>
      </c>
      <c r="H21" s="14">
        <v>991000</v>
      </c>
      <c r="I21" s="14">
        <v>490463</v>
      </c>
      <c r="J21" s="14">
        <v>2013040</v>
      </c>
      <c r="K21" s="14">
        <v>1508425</v>
      </c>
      <c r="L21" s="14">
        <v>1022038</v>
      </c>
      <c r="M21" s="14">
        <v>489631</v>
      </c>
      <c r="N21" s="14">
        <v>2318071</v>
      </c>
      <c r="O21" s="14">
        <v>1558369</v>
      </c>
      <c r="P21" s="14">
        <v>1057671</v>
      </c>
      <c r="Q21" s="14">
        <v>539605</v>
      </c>
      <c r="R21" s="14">
        <v>2169530</v>
      </c>
      <c r="S21" s="14">
        <v>1641307</v>
      </c>
      <c r="T21" s="14">
        <v>1131817</v>
      </c>
      <c r="U21" s="14">
        <v>565144</v>
      </c>
      <c r="V21" s="14">
        <v>2151442</v>
      </c>
      <c r="W21" s="14">
        <v>1605558</v>
      </c>
      <c r="X21" s="14">
        <v>1089862</v>
      </c>
      <c r="Y21" s="14">
        <v>497635</v>
      </c>
      <c r="Z21" s="14">
        <v>2154858</v>
      </c>
      <c r="AA21" s="14">
        <v>1612815</v>
      </c>
      <c r="AB21" s="14">
        <v>1084055</v>
      </c>
      <c r="AC21" s="14">
        <v>566644</v>
      </c>
      <c r="AD21" s="14">
        <v>2100804</v>
      </c>
      <c r="AE21" s="14">
        <v>1548347</v>
      </c>
      <c r="AF21" s="14">
        <v>1040366</v>
      </c>
      <c r="AG21" s="14">
        <v>513612</v>
      </c>
      <c r="AH21" s="14">
        <v>2032314</v>
      </c>
      <c r="AI21" s="14">
        <v>1535332</v>
      </c>
      <c r="AJ21" s="14">
        <v>1013208</v>
      </c>
      <c r="AK21" s="14">
        <v>515817</v>
      </c>
      <c r="AL21" s="14">
        <f>+AL11+AL8+AL12+AL13+AL14+AL15+AL20</f>
        <v>2156882</v>
      </c>
      <c r="AM21" s="14">
        <f>+AM11+AM8+AM12+AM13+AM14+AM15+AM20</f>
        <v>1630280</v>
      </c>
      <c r="AN21" s="14">
        <f>+AN11+AN8+AN12+AN13+AN14+AN15+AN20</f>
        <v>1085921</v>
      </c>
      <c r="AO21" s="14">
        <f>+AO11+AO8+AO12+AO13+AO14+AO15+AO20</f>
        <v>500965</v>
      </c>
      <c r="AP21" s="14">
        <v>1883021</v>
      </c>
      <c r="AQ21" s="14">
        <f>SUM(AQ12:AQ15)+SUM(AQ20)+SUM(AQ8)+SUM(AQ11)</f>
        <v>1400052</v>
      </c>
      <c r="AR21" s="14">
        <v>920093</v>
      </c>
      <c r="AS21" s="14">
        <v>445913</v>
      </c>
      <c r="AT21" s="14">
        <v>1898480</v>
      </c>
      <c r="AU21" s="14">
        <v>1411451</v>
      </c>
      <c r="AV21" s="14">
        <v>951214</v>
      </c>
      <c r="AW21" s="14">
        <v>483914</v>
      </c>
      <c r="AX21" s="14">
        <v>1768369</v>
      </c>
      <c r="AY21" s="14">
        <v>1282597</v>
      </c>
      <c r="AZ21" s="14">
        <v>870836</v>
      </c>
      <c r="BA21" s="14">
        <v>422714</v>
      </c>
      <c r="BB21" s="14">
        <v>1607619</v>
      </c>
    </row>
    <row r="22" spans="1:54" s="21" customFormat="1" ht="11.25">
      <c r="A22" s="4" t="s">
        <v>23</v>
      </c>
      <c r="B22" s="5" t="s">
        <v>81</v>
      </c>
      <c r="C22" s="5"/>
      <c r="D22" s="5"/>
      <c r="F22" s="13">
        <v>-655916</v>
      </c>
      <c r="G22" s="13">
        <v>-501074</v>
      </c>
      <c r="H22" s="13">
        <v>-388415</v>
      </c>
      <c r="I22" s="13">
        <v>-146307</v>
      </c>
      <c r="J22" s="13">
        <v>-659064</v>
      </c>
      <c r="K22" s="13">
        <v>-398511</v>
      </c>
      <c r="L22" s="13">
        <v>-272082</v>
      </c>
      <c r="M22" s="13">
        <v>-121511</v>
      </c>
      <c r="N22" s="13">
        <v>-737800</v>
      </c>
      <c r="O22" s="13">
        <v>-442825</v>
      </c>
      <c r="P22" s="13">
        <v>-307758</v>
      </c>
      <c r="Q22" s="13">
        <v>-149972</v>
      </c>
      <c r="R22" s="13">
        <v>-858219</v>
      </c>
      <c r="S22" s="13">
        <v>-590576</v>
      </c>
      <c r="T22" s="13">
        <v>-423485</v>
      </c>
      <c r="U22" s="13">
        <v>-214710</v>
      </c>
      <c r="V22" s="13">
        <v>-876547</v>
      </c>
      <c r="W22" s="13">
        <v>-623106</v>
      </c>
      <c r="X22" s="13">
        <v>-467815</v>
      </c>
      <c r="Y22" s="13">
        <v>-167766</v>
      </c>
      <c r="Z22" s="13">
        <v>-971924</v>
      </c>
      <c r="AA22" s="13">
        <v>-423654</v>
      </c>
      <c r="AB22" s="13">
        <v>-295027</v>
      </c>
      <c r="AC22" s="13">
        <v>-99622</v>
      </c>
      <c r="AD22" s="13">
        <v>-350132</v>
      </c>
      <c r="AE22" s="13">
        <v>-267209</v>
      </c>
      <c r="AF22" s="13">
        <v>-180925</v>
      </c>
      <c r="AG22" s="13">
        <v>-74767</v>
      </c>
      <c r="AH22" s="13">
        <v>-397784</v>
      </c>
      <c r="AI22" s="13">
        <v>-274209</v>
      </c>
      <c r="AJ22" s="13">
        <v>-200494</v>
      </c>
      <c r="AK22" s="13">
        <v>-106276</v>
      </c>
      <c r="AL22" s="13">
        <f>+AL24+AL23+AL25+AL26</f>
        <v>-604981</v>
      </c>
      <c r="AM22" s="13">
        <f>+AM24+AM23+AM25+AM26</f>
        <v>-422305</v>
      </c>
      <c r="AN22" s="13">
        <f>+AN24+AN23+AN25+AN26</f>
        <v>-318506</v>
      </c>
      <c r="AO22" s="13">
        <f>+AO24+AO23+AO25+AO26</f>
        <v>-104482</v>
      </c>
      <c r="AP22" s="13">
        <v>-239820</v>
      </c>
      <c r="AQ22" s="13">
        <f>+AQ23+AQ24+AQ25+AQ26</f>
        <v>-160751</v>
      </c>
      <c r="AR22" s="13">
        <f>SUM(AR23:AR26)</f>
        <v>-98951</v>
      </c>
      <c r="AS22" s="13">
        <v>-37442</v>
      </c>
      <c r="AT22" s="13">
        <v>-138736</v>
      </c>
      <c r="AU22" s="13">
        <v>-100567</v>
      </c>
      <c r="AV22" s="13">
        <v>-65322</v>
      </c>
      <c r="AW22" s="13">
        <v>-23448</v>
      </c>
      <c r="AX22" s="13">
        <v>-129201</v>
      </c>
      <c r="AY22" s="13">
        <v>-81546</v>
      </c>
      <c r="AZ22" s="13">
        <v>-47814</v>
      </c>
      <c r="BA22" s="13">
        <v>-9890</v>
      </c>
      <c r="BB22" s="13">
        <v>-94895</v>
      </c>
    </row>
    <row r="23" spans="1:54" s="21" customFormat="1" ht="11.25">
      <c r="A23" s="4"/>
      <c r="B23" s="5" t="s">
        <v>76</v>
      </c>
      <c r="C23" s="5"/>
      <c r="D23" s="5"/>
      <c r="F23" s="13">
        <v>-535975</v>
      </c>
      <c r="G23" s="13">
        <v>-412954</v>
      </c>
      <c r="H23" s="13">
        <v>-323232</v>
      </c>
      <c r="I23" s="13">
        <v>-133573</v>
      </c>
      <c r="J23" s="13">
        <v>-619750</v>
      </c>
      <c r="K23" s="13">
        <v>-400680</v>
      </c>
      <c r="L23" s="13">
        <v>-276102</v>
      </c>
      <c r="M23" s="13">
        <v>-114167</v>
      </c>
      <c r="N23" s="13">
        <v>-705799</v>
      </c>
      <c r="O23" s="13">
        <v>-424897</v>
      </c>
      <c r="P23" s="13">
        <v>-297741</v>
      </c>
      <c r="Q23" s="13">
        <v>-147504</v>
      </c>
      <c r="R23" s="13">
        <v>-812734</v>
      </c>
      <c r="S23" s="13">
        <v>-580088</v>
      </c>
      <c r="T23" s="13">
        <v>-416792</v>
      </c>
      <c r="U23" s="13">
        <v>-211820</v>
      </c>
      <c r="V23" s="13">
        <v>-781585</v>
      </c>
      <c r="W23" s="13">
        <v>-591383</v>
      </c>
      <c r="X23" s="13">
        <v>-439759</v>
      </c>
      <c r="Y23" s="13">
        <v>-161628</v>
      </c>
      <c r="Z23" s="13">
        <v>-958393</v>
      </c>
      <c r="AA23" s="13">
        <v>-419978</v>
      </c>
      <c r="AB23" s="13">
        <v>-289608</v>
      </c>
      <c r="AC23" s="13">
        <v>-98725</v>
      </c>
      <c r="AD23" s="13">
        <v>-344055</v>
      </c>
      <c r="AE23" s="13">
        <v>-259787</v>
      </c>
      <c r="AF23" s="13">
        <v>-175719</v>
      </c>
      <c r="AG23" s="13">
        <v>-75088</v>
      </c>
      <c r="AH23" s="13">
        <v>-377939</v>
      </c>
      <c r="AI23" s="13">
        <v>-263100</v>
      </c>
      <c r="AJ23" s="13">
        <v>-192922</v>
      </c>
      <c r="AK23" s="13">
        <v>-103885</v>
      </c>
      <c r="AL23" s="13">
        <v>-581376</v>
      </c>
      <c r="AM23" s="13">
        <f>-102077-207305-96879</f>
        <v>-406261</v>
      </c>
      <c r="AN23" s="13">
        <f>-102077-207305</f>
        <v>-309382</v>
      </c>
      <c r="AO23" s="13">
        <v>-102077</v>
      </c>
      <c r="AP23" s="13">
        <v>-204314</v>
      </c>
      <c r="AQ23" s="13">
        <v>-147517</v>
      </c>
      <c r="AR23" s="13">
        <v>-96539</v>
      </c>
      <c r="AS23" s="13">
        <v>-36107</v>
      </c>
      <c r="AT23" s="13">
        <v>-140819</v>
      </c>
      <c r="AU23" s="13">
        <v>-98186</v>
      </c>
      <c r="AV23" s="13">
        <v>-64376</v>
      </c>
      <c r="AW23" s="13">
        <v>-23515</v>
      </c>
      <c r="AX23" s="13">
        <v>-129372</v>
      </c>
      <c r="AY23" s="13">
        <v>-80685</v>
      </c>
      <c r="AZ23" s="13">
        <v>-47513</v>
      </c>
      <c r="BA23" s="13">
        <v>-10099</v>
      </c>
      <c r="BB23" s="13">
        <v>-94085</v>
      </c>
    </row>
    <row r="24" spans="1:54" s="21" customFormat="1" ht="11.25">
      <c r="A24" s="4"/>
      <c r="B24" s="5" t="s">
        <v>77</v>
      </c>
      <c r="C24" s="5"/>
      <c r="D24" s="5"/>
      <c r="F24" s="13">
        <v>-104628</v>
      </c>
      <c r="G24" s="13">
        <v>-101000</v>
      </c>
      <c r="H24" s="13">
        <v>-71617</v>
      </c>
      <c r="I24" s="13">
        <v>-17381</v>
      </c>
      <c r="J24" s="13">
        <v>-51811</v>
      </c>
      <c r="K24" s="13">
        <v>-12150</v>
      </c>
      <c r="L24" s="13">
        <v>-7202</v>
      </c>
      <c r="M24" s="13">
        <v>-3678</v>
      </c>
      <c r="N24" s="13">
        <v>-27343</v>
      </c>
      <c r="O24" s="13">
        <v>-16462</v>
      </c>
      <c r="P24" s="13">
        <v>-8899</v>
      </c>
      <c r="Q24" s="13">
        <v>-6347</v>
      </c>
      <c r="R24" s="13">
        <v>-40347</v>
      </c>
      <c r="S24" s="13">
        <v>-4335</v>
      </c>
      <c r="T24" s="13">
        <v>-3655</v>
      </c>
      <c r="U24" s="13">
        <v>-466</v>
      </c>
      <c r="V24" s="13">
        <v>-58433</v>
      </c>
      <c r="W24" s="13">
        <v>-4621</v>
      </c>
      <c r="X24" s="13">
        <v>-3198</v>
      </c>
      <c r="Y24" s="13">
        <v>-670</v>
      </c>
      <c r="Z24" s="13">
        <v>-8839</v>
      </c>
      <c r="AA24" s="13">
        <v>-4828</v>
      </c>
      <c r="AB24" s="13">
        <v>-4873</v>
      </c>
      <c r="AC24" s="13">
        <v>-201</v>
      </c>
      <c r="AD24" s="13">
        <v>-6616</v>
      </c>
      <c r="AE24" s="13">
        <v>-2283</v>
      </c>
      <c r="AF24" s="13">
        <v>-1715</v>
      </c>
      <c r="AG24" s="13">
        <v>-2</v>
      </c>
      <c r="AH24" s="13">
        <v>-10285</v>
      </c>
      <c r="AI24" s="13">
        <v>-7221</v>
      </c>
      <c r="AJ24" s="13">
        <v>-3647</v>
      </c>
      <c r="AK24" s="13">
        <v>-975</v>
      </c>
      <c r="AL24" s="13">
        <v>-13515</v>
      </c>
      <c r="AM24" s="13">
        <f>-536-3570-3448</f>
        <v>-7554</v>
      </c>
      <c r="AN24" s="13">
        <f>-536-3570</f>
        <v>-4106</v>
      </c>
      <c r="AO24" s="13">
        <v>-536</v>
      </c>
      <c r="AP24" s="13">
        <v>-31368</v>
      </c>
      <c r="AQ24" s="13">
        <v>-9407</v>
      </c>
      <c r="AR24" s="13">
        <v>-7</v>
      </c>
      <c r="AS24" s="13">
        <v>0</v>
      </c>
      <c r="AT24" s="13">
        <v>-19</v>
      </c>
      <c r="AU24" s="13">
        <v>-12</v>
      </c>
      <c r="AV24" s="13">
        <v>-12</v>
      </c>
      <c r="AW24" s="13">
        <v>0</v>
      </c>
      <c r="AX24" s="13">
        <v>-57</v>
      </c>
      <c r="AY24" s="13">
        <v>-416</v>
      </c>
      <c r="AZ24" s="13">
        <v>-71</v>
      </c>
      <c r="BA24" s="13">
        <v>0</v>
      </c>
      <c r="BB24" s="13">
        <v>0</v>
      </c>
    </row>
    <row r="25" spans="1:54" s="21" customFormat="1" ht="12.75" customHeight="1">
      <c r="A25" s="4"/>
      <c r="B25" s="5" t="s">
        <v>78</v>
      </c>
      <c r="C25" s="5"/>
      <c r="D25" s="5"/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  <c r="AB25" s="13">
        <v>0</v>
      </c>
      <c r="AC25" s="13">
        <v>0</v>
      </c>
      <c r="AD25" s="13">
        <v>-3463</v>
      </c>
      <c r="AE25" s="13">
        <v>-2474</v>
      </c>
      <c r="AF25" s="13">
        <v>-1042</v>
      </c>
      <c r="AG25" s="13">
        <v>0</v>
      </c>
      <c r="AH25" s="13">
        <v>0</v>
      </c>
      <c r="AI25" s="13">
        <v>0</v>
      </c>
      <c r="AJ25" s="13">
        <v>0</v>
      </c>
      <c r="AK25" s="13">
        <v>0</v>
      </c>
      <c r="AL25" s="13">
        <v>0</v>
      </c>
      <c r="AM25" s="13">
        <v>0</v>
      </c>
      <c r="AN25" s="13">
        <v>0</v>
      </c>
      <c r="AO25" s="13">
        <v>0</v>
      </c>
      <c r="AP25" s="13">
        <v>0</v>
      </c>
      <c r="AQ25" s="13">
        <v>0</v>
      </c>
      <c r="AR25" s="13">
        <v>0</v>
      </c>
      <c r="AS25" s="13">
        <v>0</v>
      </c>
      <c r="AT25" s="13">
        <v>0</v>
      </c>
      <c r="AU25" s="13">
        <v>0</v>
      </c>
      <c r="AV25" s="13">
        <v>0</v>
      </c>
      <c r="AW25" s="13">
        <v>0</v>
      </c>
      <c r="AX25" s="13">
        <v>0</v>
      </c>
      <c r="AY25" s="13">
        <v>0</v>
      </c>
      <c r="AZ25" s="13">
        <v>0</v>
      </c>
      <c r="BA25" s="13">
        <v>0</v>
      </c>
      <c r="BB25" s="13">
        <v>0</v>
      </c>
    </row>
    <row r="26" spans="1:54" s="21" customFormat="1" ht="11.25">
      <c r="A26" s="4"/>
      <c r="B26" s="5" t="s">
        <v>82</v>
      </c>
      <c r="C26" s="5"/>
      <c r="D26" s="5"/>
      <c r="F26" s="13">
        <v>-15313</v>
      </c>
      <c r="G26" s="13">
        <v>12880</v>
      </c>
      <c r="H26" s="13">
        <v>6434</v>
      </c>
      <c r="I26" s="13">
        <v>4647</v>
      </c>
      <c r="J26" s="13">
        <v>12497</v>
      </c>
      <c r="K26" s="13">
        <v>14319</v>
      </c>
      <c r="L26" s="13">
        <v>11222</v>
      </c>
      <c r="M26" s="13">
        <v>-3666</v>
      </c>
      <c r="N26" s="13">
        <v>-4658</v>
      </c>
      <c r="O26" s="13">
        <v>-1466</v>
      </c>
      <c r="P26" s="13">
        <v>-1118</v>
      </c>
      <c r="Q26" s="13">
        <v>3879</v>
      </c>
      <c r="R26" s="13">
        <v>-5138</v>
      </c>
      <c r="S26" s="13">
        <v>-6153</v>
      </c>
      <c r="T26" s="13">
        <v>-3038</v>
      </c>
      <c r="U26" s="13">
        <v>-2424</v>
      </c>
      <c r="V26" s="13">
        <v>-36529</v>
      </c>
      <c r="W26" s="13">
        <v>-27102</v>
      </c>
      <c r="X26" s="13">
        <v>-24858</v>
      </c>
      <c r="Y26" s="13">
        <v>-5468</v>
      </c>
      <c r="Z26" s="13">
        <v>-4692</v>
      </c>
      <c r="AA26" s="13">
        <v>1152</v>
      </c>
      <c r="AB26" s="13">
        <v>-546</v>
      </c>
      <c r="AC26" s="13">
        <v>-696</v>
      </c>
      <c r="AD26" s="13">
        <v>4002</v>
      </c>
      <c r="AE26" s="13">
        <v>-2665</v>
      </c>
      <c r="AF26" s="13">
        <v>-2449</v>
      </c>
      <c r="AG26" s="13">
        <v>323</v>
      </c>
      <c r="AH26" s="13">
        <v>-9560</v>
      </c>
      <c r="AI26" s="13">
        <v>-3888</v>
      </c>
      <c r="AJ26" s="13">
        <v>-3925</v>
      </c>
      <c r="AK26" s="13">
        <v>-1416</v>
      </c>
      <c r="AL26" s="13">
        <v>-10090</v>
      </c>
      <c r="AM26" s="13">
        <f>-1869-3149-3472</f>
        <v>-8490</v>
      </c>
      <c r="AN26" s="13">
        <f>-1869-3149</f>
        <v>-5018</v>
      </c>
      <c r="AO26" s="13">
        <v>-1869</v>
      </c>
      <c r="AP26" s="13">
        <v>-4138</v>
      </c>
      <c r="AQ26" s="13">
        <v>-3827</v>
      </c>
      <c r="AR26" s="13">
        <v>-2405</v>
      </c>
      <c r="AS26" s="13">
        <v>-1335</v>
      </c>
      <c r="AT26" s="13">
        <v>2102</v>
      </c>
      <c r="AU26" s="13">
        <v>-2369</v>
      </c>
      <c r="AV26" s="13">
        <v>-934</v>
      </c>
      <c r="AW26" s="13">
        <v>67</v>
      </c>
      <c r="AX26" s="13">
        <v>228</v>
      </c>
      <c r="AY26" s="13">
        <v>-445</v>
      </c>
      <c r="AZ26" s="13">
        <v>-230</v>
      </c>
      <c r="BA26" s="13">
        <v>209</v>
      </c>
      <c r="BB26" s="13">
        <v>-810</v>
      </c>
    </row>
    <row r="27" spans="1:54" s="21" customFormat="1" ht="11.25">
      <c r="A27" s="4" t="s">
        <v>25</v>
      </c>
      <c r="B27" s="8" t="s">
        <v>83</v>
      </c>
      <c r="C27" s="8"/>
      <c r="D27" s="8"/>
      <c r="E27" s="40"/>
      <c r="F27" s="14">
        <v>1324741</v>
      </c>
      <c r="G27" s="14">
        <v>975942</v>
      </c>
      <c r="H27" s="14">
        <v>602585</v>
      </c>
      <c r="I27" s="14">
        <v>344156</v>
      </c>
      <c r="J27" s="14">
        <v>1353976</v>
      </c>
      <c r="K27" s="14">
        <v>1109914</v>
      </c>
      <c r="L27" s="14">
        <v>749956</v>
      </c>
      <c r="M27" s="14">
        <v>368120</v>
      </c>
      <c r="N27" s="14">
        <v>1580271</v>
      </c>
      <c r="O27" s="14">
        <v>1115544</v>
      </c>
      <c r="P27" s="14">
        <v>749913</v>
      </c>
      <c r="Q27" s="14">
        <v>389633</v>
      </c>
      <c r="R27" s="14">
        <v>1311311</v>
      </c>
      <c r="S27" s="14">
        <v>1050731</v>
      </c>
      <c r="T27" s="14">
        <v>708332</v>
      </c>
      <c r="U27" s="14">
        <v>350434</v>
      </c>
      <c r="V27" s="14">
        <v>1274895</v>
      </c>
      <c r="W27" s="14">
        <v>982452</v>
      </c>
      <c r="X27" s="14">
        <v>622047</v>
      </c>
      <c r="Y27" s="14">
        <v>329869</v>
      </c>
      <c r="Z27" s="14">
        <v>1182934</v>
      </c>
      <c r="AA27" s="14">
        <v>1189161</v>
      </c>
      <c r="AB27" s="14">
        <v>789028</v>
      </c>
      <c r="AC27" s="14">
        <v>467022</v>
      </c>
      <c r="AD27" s="14">
        <v>1750672</v>
      </c>
      <c r="AE27" s="14">
        <v>1281138</v>
      </c>
      <c r="AF27" s="14">
        <v>859441</v>
      </c>
      <c r="AG27" s="14">
        <v>438845</v>
      </c>
      <c r="AH27" s="14">
        <v>1634530</v>
      </c>
      <c r="AI27" s="14">
        <v>1261123</v>
      </c>
      <c r="AJ27" s="14">
        <v>812714</v>
      </c>
      <c r="AK27" s="14">
        <v>409541</v>
      </c>
      <c r="AL27" s="14">
        <v>1551901</v>
      </c>
      <c r="AM27" s="14">
        <v>1207975</v>
      </c>
      <c r="AN27" s="14">
        <f>+AN21+AN22</f>
        <v>767415</v>
      </c>
      <c r="AO27" s="14">
        <v>396483</v>
      </c>
      <c r="AP27" s="14">
        <v>1643201</v>
      </c>
      <c r="AQ27" s="14">
        <v>1239301</v>
      </c>
      <c r="AR27" s="14">
        <v>821142</v>
      </c>
      <c r="AS27" s="14">
        <v>408471</v>
      </c>
      <c r="AT27" s="14">
        <v>1759744</v>
      </c>
      <c r="AU27" s="14">
        <v>1310884</v>
      </c>
      <c r="AV27" s="14">
        <v>885892</v>
      </c>
      <c r="AW27" s="14">
        <v>460466</v>
      </c>
      <c r="AX27" s="14">
        <v>1639168</v>
      </c>
      <c r="AY27" s="14">
        <v>1201051</v>
      </c>
      <c r="AZ27" s="14">
        <v>823022</v>
      </c>
      <c r="BA27" s="14">
        <v>412824</v>
      </c>
      <c r="BB27" s="14">
        <v>1512724</v>
      </c>
    </row>
    <row r="28" spans="1:54" s="21" customFormat="1" ht="11.25">
      <c r="A28" s="4" t="s">
        <v>52</v>
      </c>
      <c r="B28" s="5" t="s">
        <v>84</v>
      </c>
      <c r="C28" s="5"/>
      <c r="D28" s="5"/>
      <c r="F28" s="13">
        <v>-1372985</v>
      </c>
      <c r="G28" s="13">
        <v>-1014805</v>
      </c>
      <c r="H28" s="13">
        <v>-664097</v>
      </c>
      <c r="I28" s="13">
        <v>-338795</v>
      </c>
      <c r="J28" s="13">
        <v>-1383303</v>
      </c>
      <c r="K28" s="13">
        <v>-1017088</v>
      </c>
      <c r="L28" s="13">
        <v>-687830</v>
      </c>
      <c r="M28" s="13">
        <v>-343116</v>
      </c>
      <c r="N28" s="13">
        <v>-1410531</v>
      </c>
      <c r="O28" s="13">
        <v>-1014720</v>
      </c>
      <c r="P28" s="13">
        <v>-655844</v>
      </c>
      <c r="Q28" s="13">
        <v>-323806</v>
      </c>
      <c r="R28" s="13">
        <v>-1316476</v>
      </c>
      <c r="S28" s="13">
        <v>-969387</v>
      </c>
      <c r="T28" s="13">
        <v>-659736</v>
      </c>
      <c r="U28" s="13">
        <v>-322923</v>
      </c>
      <c r="V28" s="13">
        <v>-1309285</v>
      </c>
      <c r="W28" s="13">
        <v>-975761</v>
      </c>
      <c r="X28" s="13">
        <v>-663128</v>
      </c>
      <c r="Y28" s="13">
        <v>-323000</v>
      </c>
      <c r="Z28" s="13">
        <v>-1259466</v>
      </c>
      <c r="AA28" s="13">
        <v>-966095</v>
      </c>
      <c r="AB28" s="13">
        <v>-653826</v>
      </c>
      <c r="AC28" s="13">
        <v>-320719</v>
      </c>
      <c r="AD28" s="13">
        <v>-1286895</v>
      </c>
      <c r="AE28" s="13">
        <v>-961456</v>
      </c>
      <c r="AF28" s="13">
        <v>-654697</v>
      </c>
      <c r="AG28" s="13">
        <v>-317491</v>
      </c>
      <c r="AH28" s="13">
        <v>-1274428</v>
      </c>
      <c r="AI28" s="13">
        <v>-942599</v>
      </c>
      <c r="AJ28" s="13">
        <v>-645687</v>
      </c>
      <c r="AK28" s="13">
        <v>-309111</v>
      </c>
      <c r="AL28" s="13">
        <f>+AL29+AL30</f>
        <v>-1272228</v>
      </c>
      <c r="AM28" s="13">
        <f>+AM29+AM30</f>
        <v>-939879</v>
      </c>
      <c r="AN28" s="13">
        <f>+AN29+AN30</f>
        <v>-637546</v>
      </c>
      <c r="AO28" s="13">
        <f>+AO29+AO30</f>
        <v>-307297</v>
      </c>
      <c r="AP28" s="13">
        <v>-1182556</v>
      </c>
      <c r="AQ28" s="13">
        <f>+AQ29+AQ30</f>
        <v>-867416</v>
      </c>
      <c r="AR28" s="13">
        <f>SUM(AR29:AR30)</f>
        <v>-580142</v>
      </c>
      <c r="AS28" s="13">
        <v>-278856</v>
      </c>
      <c r="AT28" s="13">
        <v>-1108866</v>
      </c>
      <c r="AU28" s="13">
        <v>-803560</v>
      </c>
      <c r="AV28" s="13">
        <v>-531350</v>
      </c>
      <c r="AW28" s="13">
        <v>-263890</v>
      </c>
      <c r="AX28" s="13">
        <v>-1058320</v>
      </c>
      <c r="AY28" s="13">
        <v>-768699</v>
      </c>
      <c r="AZ28" s="13">
        <v>-534006</v>
      </c>
      <c r="BA28" s="13">
        <v>-261161</v>
      </c>
      <c r="BB28" s="13">
        <v>-1033573</v>
      </c>
    </row>
    <row r="29" spans="1:54" s="21" customFormat="1" ht="11.25">
      <c r="A29" s="4"/>
      <c r="B29" s="5" t="s">
        <v>85</v>
      </c>
      <c r="C29" s="5"/>
      <c r="D29" s="5"/>
      <c r="F29" s="13">
        <v>-783478</v>
      </c>
      <c r="G29" s="13">
        <v>-577332</v>
      </c>
      <c r="H29" s="13">
        <v>-385676</v>
      </c>
      <c r="I29" s="13">
        <v>-194125</v>
      </c>
      <c r="J29" s="13">
        <v>-769149</v>
      </c>
      <c r="K29" s="13">
        <v>-574409</v>
      </c>
      <c r="L29" s="13">
        <v>-398241</v>
      </c>
      <c r="M29" s="13">
        <v>-196586</v>
      </c>
      <c r="N29" s="13">
        <v>-825053</v>
      </c>
      <c r="O29" s="13">
        <v>-628579</v>
      </c>
      <c r="P29" s="13">
        <v>-396205</v>
      </c>
      <c r="Q29" s="13">
        <v>-199322</v>
      </c>
      <c r="R29" s="13">
        <v>-786687</v>
      </c>
      <c r="S29" s="13">
        <v>-577901</v>
      </c>
      <c r="T29" s="13">
        <v>-397895</v>
      </c>
      <c r="U29" s="13">
        <v>-196796</v>
      </c>
      <c r="V29" s="13">
        <v>-787479</v>
      </c>
      <c r="W29" s="13">
        <v>-591780</v>
      </c>
      <c r="X29" s="13">
        <v>-406609</v>
      </c>
      <c r="Y29" s="13">
        <v>-198440</v>
      </c>
      <c r="Z29" s="13">
        <v>-769577</v>
      </c>
      <c r="AA29" s="13">
        <v>-600671</v>
      </c>
      <c r="AB29" s="13">
        <v>-403251</v>
      </c>
      <c r="AC29" s="13">
        <v>-197918</v>
      </c>
      <c r="AD29" s="13">
        <v>-785876</v>
      </c>
      <c r="AE29" s="13">
        <v>-588170</v>
      </c>
      <c r="AF29" s="13">
        <v>-406717</v>
      </c>
      <c r="AG29" s="13">
        <v>-197908</v>
      </c>
      <c r="AH29" s="13">
        <v>-778107</v>
      </c>
      <c r="AI29" s="13">
        <v>-574018</v>
      </c>
      <c r="AJ29" s="13">
        <v>-399183</v>
      </c>
      <c r="AK29" s="13">
        <v>-191746</v>
      </c>
      <c r="AL29" s="13">
        <f>-765796-5803</f>
        <v>-771599</v>
      </c>
      <c r="AM29" s="13">
        <f>-187638-195552-182615</f>
        <v>-565805</v>
      </c>
      <c r="AN29" s="13">
        <f>-187638-195552</f>
        <v>-383190</v>
      </c>
      <c r="AO29" s="13">
        <v>-187638</v>
      </c>
      <c r="AP29" s="13">
        <v>-717960</v>
      </c>
      <c r="AQ29" s="13">
        <v>-532729</v>
      </c>
      <c r="AR29" s="13">
        <v>-355279</v>
      </c>
      <c r="AS29" s="13">
        <v>-173517</v>
      </c>
      <c r="AT29" s="13">
        <v>-677855</v>
      </c>
      <c r="AU29" s="13">
        <v>-492274</v>
      </c>
      <c r="AV29" s="13">
        <v>-320219</v>
      </c>
      <c r="AW29" s="13">
        <v>-165570</v>
      </c>
      <c r="AX29" s="13">
        <v>-653197</v>
      </c>
      <c r="AY29" s="13">
        <v>-476133</v>
      </c>
      <c r="AZ29" s="13">
        <v>-331190</v>
      </c>
      <c r="BA29" s="13">
        <v>-162657</v>
      </c>
      <c r="BB29" s="13">
        <v>-640015</v>
      </c>
    </row>
    <row r="30" spans="1:54" s="21" customFormat="1" ht="11.25">
      <c r="A30" s="4"/>
      <c r="B30" s="5" t="s">
        <v>86</v>
      </c>
      <c r="C30" s="5"/>
      <c r="D30" s="5"/>
      <c r="F30" s="13">
        <v>-589507</v>
      </c>
      <c r="G30" s="13">
        <v>-437473</v>
      </c>
      <c r="H30" s="13">
        <v>-278421</v>
      </c>
      <c r="I30" s="13">
        <v>-144670</v>
      </c>
      <c r="J30" s="13">
        <v>-614154</v>
      </c>
      <c r="K30" s="13">
        <v>-442679</v>
      </c>
      <c r="L30" s="13">
        <v>-289589</v>
      </c>
      <c r="M30" s="13">
        <v>-146530</v>
      </c>
      <c r="N30" s="13">
        <v>-585478</v>
      </c>
      <c r="O30" s="13">
        <v>-386141</v>
      </c>
      <c r="P30" s="13">
        <v>-259639</v>
      </c>
      <c r="Q30" s="13">
        <v>-124484</v>
      </c>
      <c r="R30" s="13">
        <v>-529789</v>
      </c>
      <c r="S30" s="13">
        <v>-391486</v>
      </c>
      <c r="T30" s="13">
        <v>-261841</v>
      </c>
      <c r="U30" s="13">
        <v>-126127</v>
      </c>
      <c r="V30" s="13">
        <v>-521806</v>
      </c>
      <c r="W30" s="13">
        <v>-383981</v>
      </c>
      <c r="X30" s="13">
        <v>-256519</v>
      </c>
      <c r="Y30" s="13">
        <v>-124560</v>
      </c>
      <c r="Z30" s="13">
        <v>-489889</v>
      </c>
      <c r="AA30" s="13">
        <v>-365424</v>
      </c>
      <c r="AB30" s="13">
        <v>-250575</v>
      </c>
      <c r="AC30" s="13">
        <v>-122801</v>
      </c>
      <c r="AD30" s="13">
        <v>-501019</v>
      </c>
      <c r="AE30" s="13">
        <v>-373286</v>
      </c>
      <c r="AF30" s="13">
        <v>-247980</v>
      </c>
      <c r="AG30" s="13">
        <v>-119583</v>
      </c>
      <c r="AH30" s="13">
        <v>-496321</v>
      </c>
      <c r="AI30" s="13">
        <v>-368581</v>
      </c>
      <c r="AJ30" s="13">
        <v>-246504</v>
      </c>
      <c r="AK30" s="13">
        <v>-117365</v>
      </c>
      <c r="AL30" s="13">
        <f>-506432+5803</f>
        <v>-500629</v>
      </c>
      <c r="AM30" s="13">
        <f>-119659-134697-119718</f>
        <v>-374074</v>
      </c>
      <c r="AN30" s="13">
        <f>-119659-134697</f>
        <v>-254356</v>
      </c>
      <c r="AO30" s="13">
        <v>-119659</v>
      </c>
      <c r="AP30" s="13">
        <v>-464596</v>
      </c>
      <c r="AQ30" s="13">
        <v>-334687</v>
      </c>
      <c r="AR30" s="13">
        <v>-224863</v>
      </c>
      <c r="AS30" s="13">
        <v>-105339</v>
      </c>
      <c r="AT30" s="13">
        <v>-431011</v>
      </c>
      <c r="AU30" s="13">
        <v>-311286</v>
      </c>
      <c r="AV30" s="13">
        <v>-211131</v>
      </c>
      <c r="AW30" s="13">
        <v>-98320</v>
      </c>
      <c r="AX30" s="13">
        <v>-405123</v>
      </c>
      <c r="AY30" s="13">
        <v>-292566</v>
      </c>
      <c r="AZ30" s="13">
        <v>-202816</v>
      </c>
      <c r="BA30" s="13">
        <v>-98504</v>
      </c>
      <c r="BB30" s="13">
        <v>-393558</v>
      </c>
    </row>
    <row r="31" spans="1:54" s="21" customFormat="1" ht="11.25">
      <c r="A31" s="4" t="s">
        <v>54</v>
      </c>
      <c r="B31" s="5" t="s">
        <v>87</v>
      </c>
      <c r="C31" s="5"/>
      <c r="D31" s="5"/>
      <c r="F31" s="13">
        <v>-30578</v>
      </c>
      <c r="G31" s="13">
        <v>-20870</v>
      </c>
      <c r="H31" s="13">
        <v>-11602</v>
      </c>
      <c r="I31" s="13">
        <v>-5661</v>
      </c>
      <c r="J31" s="13">
        <v>-28668</v>
      </c>
      <c r="K31" s="13">
        <v>-27916</v>
      </c>
      <c r="L31" s="13">
        <v>-22125</v>
      </c>
      <c r="M31" s="13">
        <v>-9621</v>
      </c>
      <c r="N31" s="13">
        <v>-52137</v>
      </c>
      <c r="O31" s="13">
        <v>-52225</v>
      </c>
      <c r="P31" s="13">
        <v>-36785</v>
      </c>
      <c r="Q31" s="13">
        <v>-14096</v>
      </c>
      <c r="R31" s="13">
        <v>-38782</v>
      </c>
      <c r="S31" s="13">
        <v>-27670</v>
      </c>
      <c r="T31" s="13">
        <v>-19634</v>
      </c>
      <c r="U31" s="13">
        <v>-6658</v>
      </c>
      <c r="V31" s="13">
        <v>-29910</v>
      </c>
      <c r="W31" s="13">
        <v>-20078</v>
      </c>
      <c r="X31" s="13">
        <v>-18378</v>
      </c>
      <c r="Y31" s="13">
        <v>-5318</v>
      </c>
      <c r="Z31" s="13">
        <v>-29132</v>
      </c>
      <c r="AA31" s="13">
        <v>-10696</v>
      </c>
      <c r="AB31" s="13">
        <v>-8561</v>
      </c>
      <c r="AC31" s="13">
        <v>-4907</v>
      </c>
      <c r="AD31" s="13">
        <v>-22412</v>
      </c>
      <c r="AE31" s="13">
        <v>-19550</v>
      </c>
      <c r="AF31" s="13">
        <v>-16274</v>
      </c>
      <c r="AG31" s="13">
        <v>-7268</v>
      </c>
      <c r="AH31" s="13">
        <v>-30893</v>
      </c>
      <c r="AI31" s="13">
        <v>-23705</v>
      </c>
      <c r="AJ31" s="13">
        <v>-17054</v>
      </c>
      <c r="AK31" s="13">
        <v>-6692</v>
      </c>
      <c r="AL31" s="13">
        <v>-22276</v>
      </c>
      <c r="AM31" s="13">
        <f>-3542-12313+996</f>
        <v>-14859</v>
      </c>
      <c r="AN31" s="13">
        <f>-3542-12313</f>
        <v>-15855</v>
      </c>
      <c r="AO31" s="13">
        <v>-3542</v>
      </c>
      <c r="AP31" s="13">
        <v>-31108</v>
      </c>
      <c r="AQ31" s="13">
        <v>-17209</v>
      </c>
      <c r="AR31" s="13">
        <v>-9441</v>
      </c>
      <c r="AS31" s="13">
        <v>-8008</v>
      </c>
      <c r="AT31" s="13">
        <v>-20544</v>
      </c>
      <c r="AU31" s="13">
        <v>-24027</v>
      </c>
      <c r="AV31" s="13">
        <v>-17040</v>
      </c>
      <c r="AW31" s="13">
        <v>-4699</v>
      </c>
      <c r="AX31" s="13">
        <v>-39618</v>
      </c>
      <c r="AY31" s="13">
        <v>-20561</v>
      </c>
      <c r="AZ31" s="13">
        <v>-15543</v>
      </c>
      <c r="BA31" s="13">
        <v>-6397</v>
      </c>
      <c r="BB31" s="13">
        <v>-30795</v>
      </c>
    </row>
    <row r="32" spans="1:54" s="21" customFormat="1" ht="11.25">
      <c r="A32" s="4" t="s">
        <v>56</v>
      </c>
      <c r="B32" s="5" t="s">
        <v>88</v>
      </c>
      <c r="C32" s="5"/>
      <c r="D32" s="5"/>
      <c r="F32" s="13">
        <v>-46124</v>
      </c>
      <c r="G32" s="13">
        <v>-30895</v>
      </c>
      <c r="H32" s="13">
        <v>-21124</v>
      </c>
      <c r="I32" s="13">
        <v>-9076</v>
      </c>
      <c r="J32" s="13">
        <v>-45709</v>
      </c>
      <c r="K32" s="13">
        <v>-30237</v>
      </c>
      <c r="L32" s="13">
        <v>-21087</v>
      </c>
      <c r="M32" s="13">
        <v>-8983</v>
      </c>
      <c r="N32" s="13">
        <v>-48336</v>
      </c>
      <c r="O32" s="13">
        <v>-28410</v>
      </c>
      <c r="P32" s="13">
        <v>-19115</v>
      </c>
      <c r="Q32" s="13">
        <v>-9944</v>
      </c>
      <c r="R32" s="13">
        <v>-43765</v>
      </c>
      <c r="S32" s="13">
        <v>-30847</v>
      </c>
      <c r="T32" s="13">
        <v>-20655</v>
      </c>
      <c r="U32" s="13">
        <v>-10402</v>
      </c>
      <c r="V32" s="13">
        <v>-43730</v>
      </c>
      <c r="W32" s="13">
        <v>-30426</v>
      </c>
      <c r="X32" s="13">
        <v>-20236</v>
      </c>
      <c r="Y32" s="13">
        <v>-10081</v>
      </c>
      <c r="Z32" s="13">
        <v>-44848</v>
      </c>
      <c r="AA32" s="13">
        <v>-32163</v>
      </c>
      <c r="AB32" s="13">
        <v>-21729</v>
      </c>
      <c r="AC32" s="13">
        <v>-10315</v>
      </c>
      <c r="AD32" s="13">
        <v>-43471</v>
      </c>
      <c r="AE32" s="13">
        <v>-32295</v>
      </c>
      <c r="AF32" s="13">
        <v>-21658</v>
      </c>
      <c r="AG32" s="13">
        <v>-10695</v>
      </c>
      <c r="AH32" s="13">
        <v>-44106</v>
      </c>
      <c r="AI32" s="13">
        <v>-32077</v>
      </c>
      <c r="AJ32" s="13">
        <v>-21458</v>
      </c>
      <c r="AK32" s="13">
        <v>-10387</v>
      </c>
      <c r="AL32" s="13">
        <v>-46452</v>
      </c>
      <c r="AM32" s="13">
        <f>-9582-10459-10156</f>
        <v>-30197</v>
      </c>
      <c r="AN32" s="13">
        <f>-9582-10459</f>
        <v>-20041</v>
      </c>
      <c r="AO32" s="13">
        <v>-9582</v>
      </c>
      <c r="AP32" s="13">
        <v>-39326</v>
      </c>
      <c r="AQ32" s="13">
        <v>-29016</v>
      </c>
      <c r="AR32" s="13">
        <v>-19255</v>
      </c>
      <c r="AS32" s="13">
        <v>-9228</v>
      </c>
      <c r="AT32" s="13">
        <v>-38840</v>
      </c>
      <c r="AU32" s="13">
        <v>-28962</v>
      </c>
      <c r="AV32" s="13">
        <v>-19053</v>
      </c>
      <c r="AW32" s="13">
        <v>-9240</v>
      </c>
      <c r="AX32" s="13">
        <v>-38874</v>
      </c>
      <c r="AY32" s="13">
        <v>-29031</v>
      </c>
      <c r="AZ32" s="13">
        <v>-19290</v>
      </c>
      <c r="BA32" s="13">
        <v>-9527</v>
      </c>
      <c r="BB32" s="13">
        <v>-41933</v>
      </c>
    </row>
    <row r="33" spans="1:54" s="21" customFormat="1" ht="11.25">
      <c r="A33" s="4" t="s">
        <v>58</v>
      </c>
      <c r="B33" s="5" t="s">
        <v>89</v>
      </c>
      <c r="C33" s="5"/>
      <c r="D33" s="5"/>
      <c r="F33" s="13">
        <v>-41305</v>
      </c>
      <c r="G33" s="13">
        <v>-30455</v>
      </c>
      <c r="H33" s="13">
        <v>-19573</v>
      </c>
      <c r="I33" s="13">
        <v>-9609</v>
      </c>
      <c r="J33" s="13">
        <v>-34886</v>
      </c>
      <c r="K33" s="13">
        <v>-25233</v>
      </c>
      <c r="L33" s="13">
        <v>-16440</v>
      </c>
      <c r="M33" s="13">
        <v>-8101</v>
      </c>
      <c r="N33" s="13">
        <v>-31913</v>
      </c>
      <c r="O33" s="13">
        <v>-23502</v>
      </c>
      <c r="P33" s="13">
        <v>-15302</v>
      </c>
      <c r="Q33" s="13">
        <v>-7386</v>
      </c>
      <c r="R33" s="13">
        <v>-26621</v>
      </c>
      <c r="S33" s="13">
        <v>-19138</v>
      </c>
      <c r="T33" s="13">
        <v>-12315</v>
      </c>
      <c r="U33" s="13">
        <v>-5955</v>
      </c>
      <c r="V33" s="13">
        <v>-22272</v>
      </c>
      <c r="W33" s="13">
        <v>-15817</v>
      </c>
      <c r="X33" s="13">
        <v>-10265</v>
      </c>
      <c r="Y33" s="13">
        <v>-4958</v>
      </c>
      <c r="Z33" s="13">
        <v>-16012</v>
      </c>
      <c r="AA33" s="13">
        <v>-11279</v>
      </c>
      <c r="AB33" s="13">
        <v>-7218</v>
      </c>
      <c r="AC33" s="13">
        <v>-3581</v>
      </c>
      <c r="AD33" s="13">
        <v>-14205</v>
      </c>
      <c r="AE33" s="13">
        <v>-10231</v>
      </c>
      <c r="AF33" s="13">
        <v>-6724</v>
      </c>
      <c r="AG33" s="13">
        <v>-3326</v>
      </c>
      <c r="AH33" s="13">
        <v>-11234</v>
      </c>
      <c r="AI33" s="13">
        <v>-8023</v>
      </c>
      <c r="AJ33" s="13">
        <v>-5382</v>
      </c>
      <c r="AK33" s="13">
        <v>-2711</v>
      </c>
      <c r="AL33" s="13">
        <v>-10847</v>
      </c>
      <c r="AM33" s="13">
        <f>-2094-2541-2398</f>
        <v>-7033</v>
      </c>
      <c r="AN33" s="13">
        <f>-2094-2541</f>
        <v>-4635</v>
      </c>
      <c r="AO33" s="13">
        <v>-2094</v>
      </c>
      <c r="AP33" s="13">
        <v>-6307</v>
      </c>
      <c r="AQ33" s="13">
        <v>-4305</v>
      </c>
      <c r="AR33" s="13">
        <v>-2775</v>
      </c>
      <c r="AS33" s="13">
        <v>-1251</v>
      </c>
      <c r="AT33" s="13">
        <v>-6689</v>
      </c>
      <c r="AU33" s="13">
        <v>-4698</v>
      </c>
      <c r="AV33" s="13">
        <v>-3030</v>
      </c>
      <c r="AW33" s="13">
        <v>-1375</v>
      </c>
      <c r="AX33" s="13">
        <v>-6069</v>
      </c>
      <c r="AY33" s="13">
        <v>-4457</v>
      </c>
      <c r="AZ33" s="13">
        <v>-2942</v>
      </c>
      <c r="BA33" s="13">
        <v>-1365</v>
      </c>
      <c r="BB33" s="13">
        <v>-6967</v>
      </c>
    </row>
    <row r="34" spans="1:54" s="21" customFormat="1" ht="11.25">
      <c r="A34" s="4" t="s">
        <v>60</v>
      </c>
      <c r="B34" s="5" t="s">
        <v>90</v>
      </c>
      <c r="C34" s="5"/>
      <c r="D34" s="5"/>
      <c r="F34" s="13">
        <v>184365</v>
      </c>
      <c r="G34" s="13">
        <v>140537</v>
      </c>
      <c r="H34" s="13">
        <v>85590</v>
      </c>
      <c r="I34" s="13">
        <v>40291</v>
      </c>
      <c r="J34" s="13">
        <v>173717</v>
      </c>
      <c r="K34" s="13">
        <v>134262</v>
      </c>
      <c r="L34" s="13">
        <v>91272</v>
      </c>
      <c r="M34" s="13">
        <v>45943</v>
      </c>
      <c r="N34" s="13">
        <v>175804</v>
      </c>
      <c r="O34" s="13">
        <v>130417</v>
      </c>
      <c r="P34" s="13">
        <v>87339</v>
      </c>
      <c r="Q34" s="13">
        <v>46307</v>
      </c>
      <c r="R34" s="13">
        <v>173268</v>
      </c>
      <c r="S34" s="13">
        <v>129536</v>
      </c>
      <c r="T34" s="13">
        <v>91980</v>
      </c>
      <c r="U34" s="13">
        <v>48455</v>
      </c>
      <c r="V34" s="13">
        <v>211851</v>
      </c>
      <c r="W34" s="13">
        <v>162975</v>
      </c>
      <c r="X34" s="13">
        <v>113587</v>
      </c>
      <c r="Y34" s="13">
        <v>57822</v>
      </c>
      <c r="Z34" s="13">
        <v>143653</v>
      </c>
      <c r="AA34" s="13">
        <v>107690</v>
      </c>
      <c r="AB34" s="13">
        <v>61538</v>
      </c>
      <c r="AC34" s="13">
        <v>31283</v>
      </c>
      <c r="AD34" s="13">
        <v>124384</v>
      </c>
      <c r="AE34" s="13">
        <v>79611</v>
      </c>
      <c r="AF34" s="13">
        <v>53883</v>
      </c>
      <c r="AG34" s="13">
        <v>27367</v>
      </c>
      <c r="AH34" s="13">
        <v>110484</v>
      </c>
      <c r="AI34" s="13">
        <v>80624</v>
      </c>
      <c r="AJ34" s="13">
        <v>58049</v>
      </c>
      <c r="AK34" s="13">
        <v>23757</v>
      </c>
      <c r="AL34" s="13">
        <v>97630</v>
      </c>
      <c r="AM34" s="13">
        <f>24654+27443+20653</f>
        <v>72750</v>
      </c>
      <c r="AN34" s="13">
        <f>24654+27443</f>
        <v>52097</v>
      </c>
      <c r="AO34" s="13">
        <v>24654</v>
      </c>
      <c r="AP34" s="13">
        <v>122121</v>
      </c>
      <c r="AQ34" s="13">
        <v>126658</v>
      </c>
      <c r="AR34" s="13">
        <v>86925</v>
      </c>
      <c r="AS34" s="13">
        <v>42497</v>
      </c>
      <c r="AT34" s="13">
        <v>186091</v>
      </c>
      <c r="AU34" s="13">
        <v>131647</v>
      </c>
      <c r="AV34" s="13">
        <v>89098</v>
      </c>
      <c r="AW34" s="13">
        <v>42665</v>
      </c>
      <c r="AX34" s="13">
        <v>161993</v>
      </c>
      <c r="AY34" s="13">
        <v>118078</v>
      </c>
      <c r="AZ34" s="13">
        <v>77643</v>
      </c>
      <c r="BA34" s="13">
        <v>37876</v>
      </c>
      <c r="BB34" s="13">
        <v>156909</v>
      </c>
    </row>
    <row r="35" spans="1:54" s="21" customFormat="1" ht="11.25">
      <c r="A35" s="4" t="s">
        <v>91</v>
      </c>
      <c r="B35" s="8" t="s">
        <v>92</v>
      </c>
      <c r="C35" s="8"/>
      <c r="D35" s="8"/>
      <c r="E35" s="40"/>
      <c r="F35" s="15">
        <v>-1306627</v>
      </c>
      <c r="G35" s="15">
        <v>-956488</v>
      </c>
      <c r="H35" s="15">
        <v>-630806</v>
      </c>
      <c r="I35" s="15">
        <v>-322850</v>
      </c>
      <c r="J35" s="15">
        <v>-1318849</v>
      </c>
      <c r="K35" s="15">
        <v>-966212</v>
      </c>
      <c r="L35" s="15">
        <v>-656210</v>
      </c>
      <c r="M35" s="15">
        <v>-323878</v>
      </c>
      <c r="N35" s="15">
        <v>-1367113</v>
      </c>
      <c r="O35" s="15">
        <v>-988440</v>
      </c>
      <c r="P35" s="15">
        <v>-639707</v>
      </c>
      <c r="Q35" s="15">
        <v>-308925</v>
      </c>
      <c r="R35" s="15">
        <v>-1252376</v>
      </c>
      <c r="S35" s="15">
        <v>-917506</v>
      </c>
      <c r="T35" s="15">
        <v>-620360</v>
      </c>
      <c r="U35" s="15">
        <v>-297483</v>
      </c>
      <c r="V35" s="15">
        <v>-1193346</v>
      </c>
      <c r="W35" s="15">
        <v>-879107</v>
      </c>
      <c r="X35" s="15">
        <v>-598420</v>
      </c>
      <c r="Y35" s="15">
        <v>-285535</v>
      </c>
      <c r="Z35" s="15">
        <v>-1205805</v>
      </c>
      <c r="AA35" s="15">
        <v>-912543</v>
      </c>
      <c r="AB35" s="15">
        <v>-629796</v>
      </c>
      <c r="AC35" s="15">
        <v>-308239</v>
      </c>
      <c r="AD35" s="15">
        <v>-1242599</v>
      </c>
      <c r="AE35" s="15">
        <v>-943921</v>
      </c>
      <c r="AF35" s="15">
        <v>-645470</v>
      </c>
      <c r="AG35" s="15">
        <v>-311413</v>
      </c>
      <c r="AH35" s="15">
        <v>-1250177</v>
      </c>
      <c r="AI35" s="15">
        <v>-925780</v>
      </c>
      <c r="AJ35" s="15">
        <v>-631532</v>
      </c>
      <c r="AK35" s="15">
        <v>-305144</v>
      </c>
      <c r="AL35" s="15">
        <f>+AL28+AL31+AL32+AL33+AL34</f>
        <v>-1254173</v>
      </c>
      <c r="AM35" s="15">
        <f>+AM28+AM31+AM32+AM33+AM34</f>
        <v>-919218</v>
      </c>
      <c r="AN35" s="15">
        <f>+AN28+AN31+AN32+AN33+AN34</f>
        <v>-625980</v>
      </c>
      <c r="AO35" s="15">
        <f>+AO28+AO31+AO32+AO33+AO34</f>
        <v>-297861</v>
      </c>
      <c r="AP35" s="15">
        <v>-1137176</v>
      </c>
      <c r="AQ35" s="15">
        <f>SUM(AQ28:AQ34)-SUM(AQ29:AQ30)</f>
        <v>-791288</v>
      </c>
      <c r="AR35" s="15">
        <f>SUM(AR28:AR34)-SUM(AR29:AR30)</f>
        <v>-524688</v>
      </c>
      <c r="AS35" s="15">
        <f>SUM(AS28:AS34)-SUM(AS29:AS30)</f>
        <v>-254846</v>
      </c>
      <c r="AT35" s="15">
        <v>-988848</v>
      </c>
      <c r="AU35" s="15">
        <v>-729600</v>
      </c>
      <c r="AV35" s="15">
        <v>-481375</v>
      </c>
      <c r="AW35" s="15">
        <v>-236539</v>
      </c>
      <c r="AX35" s="15">
        <v>-980888</v>
      </c>
      <c r="AY35" s="15">
        <v>-704670</v>
      </c>
      <c r="AZ35" s="15">
        <v>-494138</v>
      </c>
      <c r="BA35" s="15">
        <v>-240574</v>
      </c>
      <c r="BB35" s="15">
        <v>-956359</v>
      </c>
    </row>
    <row r="36" spans="1:54" s="21" customFormat="1" ht="11.25">
      <c r="A36" s="4" t="s">
        <v>93</v>
      </c>
      <c r="B36" s="5" t="s">
        <v>94</v>
      </c>
      <c r="C36" s="5"/>
      <c r="D36" s="5"/>
      <c r="F36" s="13">
        <v>18483</v>
      </c>
      <c r="G36" s="13">
        <v>142126</v>
      </c>
      <c r="H36" s="13">
        <v>137254</v>
      </c>
      <c r="I36" s="13">
        <v>3675</v>
      </c>
      <c r="J36" s="13">
        <v>8491</v>
      </c>
      <c r="K36" s="13">
        <v>5081</v>
      </c>
      <c r="L36" s="13">
        <v>2737</v>
      </c>
      <c r="M36" s="13">
        <v>3143</v>
      </c>
      <c r="N36" s="13">
        <v>97</v>
      </c>
      <c r="O36" s="13">
        <v>-1459</v>
      </c>
      <c r="P36" s="13">
        <v>5384</v>
      </c>
      <c r="Q36" s="13">
        <v>-1886</v>
      </c>
      <c r="R36" s="13">
        <v>-837</v>
      </c>
      <c r="S36" s="13">
        <v>-1495</v>
      </c>
      <c r="T36" s="13">
        <v>-3765</v>
      </c>
      <c r="U36" s="13">
        <v>-973</v>
      </c>
      <c r="V36" s="13">
        <v>-14948</v>
      </c>
      <c r="W36" s="13">
        <v>-4415</v>
      </c>
      <c r="X36" s="13">
        <v>-8205</v>
      </c>
      <c r="Y36" s="13">
        <v>-5</v>
      </c>
      <c r="Z36" s="13">
        <v>15191</v>
      </c>
      <c r="AA36" s="13">
        <v>6106</v>
      </c>
      <c r="AB36" s="13">
        <v>5151</v>
      </c>
      <c r="AC36" s="13">
        <v>-233</v>
      </c>
      <c r="AD36" s="13">
        <v>-43166</v>
      </c>
      <c r="AE36" s="13">
        <v>-18810</v>
      </c>
      <c r="AF36" s="13">
        <v>-18850</v>
      </c>
      <c r="AG36" s="13">
        <v>-2115</v>
      </c>
      <c r="AH36" s="13">
        <v>17435</v>
      </c>
      <c r="AI36" s="13">
        <v>805</v>
      </c>
      <c r="AJ36" s="13">
        <v>1632</v>
      </c>
      <c r="AK36" s="13">
        <v>189</v>
      </c>
      <c r="AL36" s="13">
        <v>9029</v>
      </c>
      <c r="AM36" s="13">
        <f>2545+3199+4</f>
        <v>5748</v>
      </c>
      <c r="AN36" s="13">
        <f>2545+3199</f>
        <v>5744</v>
      </c>
      <c r="AO36" s="13">
        <v>2545</v>
      </c>
      <c r="AP36" s="13">
        <v>-81173</v>
      </c>
      <c r="AQ36" s="13">
        <v>2088</v>
      </c>
      <c r="AR36" s="13">
        <v>2234</v>
      </c>
      <c r="AS36" s="13">
        <v>-53</v>
      </c>
      <c r="AT36" s="13">
        <v>27139</v>
      </c>
      <c r="AU36" s="13">
        <v>19932</v>
      </c>
      <c r="AV36" s="13">
        <v>5924</v>
      </c>
      <c r="AW36" s="13">
        <v>-80</v>
      </c>
      <c r="AX36" s="13">
        <v>22652</v>
      </c>
      <c r="AY36" s="13">
        <v>6374</v>
      </c>
      <c r="AZ36" s="13">
        <v>7177</v>
      </c>
      <c r="BA36" s="13">
        <v>-45</v>
      </c>
      <c r="BB36" s="13">
        <v>12282</v>
      </c>
    </row>
    <row r="37" spans="1:54" s="21" customFormat="1" ht="11.25">
      <c r="A37" s="4" t="s">
        <v>95</v>
      </c>
      <c r="B37" s="5" t="s">
        <v>96</v>
      </c>
      <c r="C37" s="5"/>
      <c r="D37" s="5"/>
      <c r="F37" s="13">
        <v>-28357</v>
      </c>
      <c r="G37" s="13">
        <v>0</v>
      </c>
      <c r="H37" s="13">
        <v>0</v>
      </c>
      <c r="I37" s="13">
        <v>0</v>
      </c>
      <c r="J37" s="13">
        <v>-32854</v>
      </c>
      <c r="K37" s="13">
        <v>-3254</v>
      </c>
      <c r="L37" s="13">
        <v>-3254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0</v>
      </c>
      <c r="V37" s="13">
        <v>-112</v>
      </c>
      <c r="W37" s="13">
        <v>0</v>
      </c>
      <c r="X37" s="13">
        <v>0</v>
      </c>
      <c r="Y37" s="13">
        <v>0</v>
      </c>
      <c r="Z37" s="13">
        <v>-48</v>
      </c>
      <c r="AA37" s="13">
        <v>-36</v>
      </c>
      <c r="AB37" s="13">
        <v>-36</v>
      </c>
      <c r="AC37" s="13">
        <v>0</v>
      </c>
      <c r="AD37" s="13">
        <v>-61429</v>
      </c>
      <c r="AE37" s="13">
        <v>-138</v>
      </c>
      <c r="AF37" s="13">
        <v>-103</v>
      </c>
      <c r="AG37" s="13">
        <v>-60</v>
      </c>
      <c r="AH37" s="13">
        <v>-3299</v>
      </c>
      <c r="AI37" s="13">
        <v>-205</v>
      </c>
      <c r="AJ37" s="13">
        <v>-173</v>
      </c>
      <c r="AK37" s="13">
        <v>-90</v>
      </c>
      <c r="AL37" s="13">
        <v>-187</v>
      </c>
      <c r="AM37" s="13">
        <f>-19-52-49</f>
        <v>-120</v>
      </c>
      <c r="AN37" s="13">
        <f>-19-52</f>
        <v>-71</v>
      </c>
      <c r="AO37" s="13">
        <v>-19</v>
      </c>
      <c r="AP37" s="13">
        <v>-245</v>
      </c>
      <c r="AQ37" s="13">
        <v>-233</v>
      </c>
      <c r="AR37" s="13">
        <v>-196</v>
      </c>
      <c r="AS37" s="13">
        <v>-1</v>
      </c>
      <c r="AT37" s="13">
        <v>-947</v>
      </c>
      <c r="AU37" s="13">
        <v>-471</v>
      </c>
      <c r="AV37" s="13">
        <v>-414</v>
      </c>
      <c r="AW37" s="13">
        <v>-158</v>
      </c>
      <c r="AX37" s="13">
        <v>-1213</v>
      </c>
      <c r="AY37" s="13">
        <v>-999</v>
      </c>
      <c r="AZ37" s="13">
        <v>-812</v>
      </c>
      <c r="BA37" s="13">
        <v>-306</v>
      </c>
      <c r="BB37" s="13">
        <v>-998</v>
      </c>
    </row>
    <row r="38" spans="1:54" s="21" customFormat="1" ht="11.25">
      <c r="A38" s="4" t="s">
        <v>305</v>
      </c>
      <c r="B38" s="5" t="s">
        <v>306</v>
      </c>
      <c r="C38" s="5"/>
      <c r="D38" s="5"/>
      <c r="F38" s="13">
        <v>190892</v>
      </c>
      <c r="G38" s="13" t="s">
        <v>263</v>
      </c>
      <c r="H38" s="13" t="s">
        <v>263</v>
      </c>
      <c r="I38" s="13" t="s">
        <v>263</v>
      </c>
      <c r="J38" s="13" t="s">
        <v>263</v>
      </c>
      <c r="K38" s="13" t="s">
        <v>263</v>
      </c>
      <c r="L38" s="13" t="s">
        <v>263</v>
      </c>
      <c r="M38" s="13" t="s">
        <v>263</v>
      </c>
      <c r="N38" s="13" t="s">
        <v>263</v>
      </c>
      <c r="O38" s="13" t="s">
        <v>263</v>
      </c>
      <c r="P38" s="13" t="s">
        <v>263</v>
      </c>
      <c r="Q38" s="13" t="s">
        <v>263</v>
      </c>
      <c r="R38" s="13" t="s">
        <v>263</v>
      </c>
      <c r="S38" s="13" t="s">
        <v>263</v>
      </c>
      <c r="T38" s="13" t="s">
        <v>263</v>
      </c>
      <c r="U38" s="13" t="s">
        <v>263</v>
      </c>
      <c r="V38" s="13" t="s">
        <v>263</v>
      </c>
      <c r="W38" s="13" t="s">
        <v>263</v>
      </c>
      <c r="X38" s="13" t="s">
        <v>263</v>
      </c>
      <c r="Y38" s="13" t="s">
        <v>263</v>
      </c>
      <c r="Z38" s="13" t="s">
        <v>263</v>
      </c>
      <c r="AA38" s="13" t="s">
        <v>263</v>
      </c>
      <c r="AB38" s="13" t="s">
        <v>263</v>
      </c>
      <c r="AC38" s="13" t="s">
        <v>263</v>
      </c>
      <c r="AD38" s="13" t="s">
        <v>263</v>
      </c>
      <c r="AE38" s="13" t="s">
        <v>263</v>
      </c>
      <c r="AF38" s="13" t="s">
        <v>263</v>
      </c>
      <c r="AG38" s="13" t="s">
        <v>263</v>
      </c>
      <c r="AH38" s="13" t="s">
        <v>263</v>
      </c>
      <c r="AI38" s="13" t="s">
        <v>263</v>
      </c>
      <c r="AJ38" s="13" t="s">
        <v>263</v>
      </c>
      <c r="AK38" s="13" t="s">
        <v>263</v>
      </c>
      <c r="AL38" s="13" t="s">
        <v>263</v>
      </c>
      <c r="AM38" s="13" t="s">
        <v>263</v>
      </c>
      <c r="AN38" s="13" t="s">
        <v>263</v>
      </c>
      <c r="AO38" s="13" t="s">
        <v>263</v>
      </c>
      <c r="AP38" s="13" t="s">
        <v>263</v>
      </c>
      <c r="AQ38" s="13" t="s">
        <v>263</v>
      </c>
      <c r="AR38" s="13" t="s">
        <v>263</v>
      </c>
      <c r="AS38" s="13" t="s">
        <v>263</v>
      </c>
      <c r="AT38" s="13" t="s">
        <v>263</v>
      </c>
      <c r="AU38" s="13" t="s">
        <v>263</v>
      </c>
      <c r="AV38" s="13" t="s">
        <v>263</v>
      </c>
      <c r="AW38" s="13" t="s">
        <v>263</v>
      </c>
      <c r="AX38" s="13" t="s">
        <v>263</v>
      </c>
      <c r="AY38" s="13" t="s">
        <v>263</v>
      </c>
      <c r="AZ38" s="13" t="s">
        <v>263</v>
      </c>
      <c r="BA38" s="13" t="s">
        <v>263</v>
      </c>
      <c r="BB38" s="13" t="s">
        <v>263</v>
      </c>
    </row>
    <row r="39" spans="1:54" s="21" customFormat="1" ht="11.25">
      <c r="A39" s="4" t="s">
        <v>97</v>
      </c>
      <c r="B39" s="5" t="s">
        <v>98</v>
      </c>
      <c r="C39" s="5"/>
      <c r="D39" s="5"/>
      <c r="F39" s="13">
        <v>-12</v>
      </c>
      <c r="G39" s="13">
        <v>29</v>
      </c>
      <c r="H39" s="13">
        <v>16</v>
      </c>
      <c r="I39" s="13">
        <v>30</v>
      </c>
      <c r="J39" s="13">
        <v>-220</v>
      </c>
      <c r="K39" s="13">
        <v>-249</v>
      </c>
      <c r="L39" s="13">
        <v>-367</v>
      </c>
      <c r="M39" s="13">
        <v>50</v>
      </c>
      <c r="N39" s="13">
        <v>259</v>
      </c>
      <c r="O39" s="13">
        <v>13</v>
      </c>
      <c r="P39" s="13">
        <v>16</v>
      </c>
      <c r="Q39" s="13">
        <v>113</v>
      </c>
      <c r="R39" s="13">
        <v>67</v>
      </c>
      <c r="S39" s="13">
        <v>26</v>
      </c>
      <c r="T39" s="13">
        <v>23</v>
      </c>
      <c r="U39" s="13">
        <v>1</v>
      </c>
      <c r="V39" s="13">
        <v>335</v>
      </c>
      <c r="W39" s="13">
        <v>341</v>
      </c>
      <c r="X39" s="13">
        <v>127</v>
      </c>
      <c r="Y39" s="13">
        <v>88</v>
      </c>
      <c r="Z39" s="13">
        <v>315</v>
      </c>
      <c r="AA39" s="13">
        <v>-2649</v>
      </c>
      <c r="AB39" s="13">
        <v>-1660</v>
      </c>
      <c r="AC39" s="13">
        <v>-27</v>
      </c>
      <c r="AD39" s="13">
        <v>2618</v>
      </c>
      <c r="AE39" s="13">
        <v>848</v>
      </c>
      <c r="AF39" s="13">
        <v>605</v>
      </c>
      <c r="AG39" s="13">
        <v>289</v>
      </c>
      <c r="AH39" s="13">
        <v>542</v>
      </c>
      <c r="AI39" s="13">
        <v>-266</v>
      </c>
      <c r="AJ39" s="13">
        <v>321</v>
      </c>
      <c r="AK39" s="13">
        <v>230</v>
      </c>
      <c r="AL39" s="13">
        <v>-198</v>
      </c>
      <c r="AM39" s="13">
        <f>182-31+431</f>
        <v>582</v>
      </c>
      <c r="AN39" s="13">
        <f>182-31</f>
        <v>151</v>
      </c>
      <c r="AO39" s="13">
        <v>182</v>
      </c>
      <c r="AP39" s="13">
        <v>1475</v>
      </c>
      <c r="AQ39" s="13">
        <v>930</v>
      </c>
      <c r="AR39" s="13">
        <v>900</v>
      </c>
      <c r="AS39" s="13">
        <v>281</v>
      </c>
      <c r="AT39" s="13">
        <v>1471</v>
      </c>
      <c r="AU39" s="13">
        <v>750</v>
      </c>
      <c r="AV39" s="13">
        <v>828</v>
      </c>
      <c r="AW39" s="13">
        <v>195</v>
      </c>
      <c r="AX39" s="13">
        <v>2289</v>
      </c>
      <c r="AY39" s="13">
        <v>75</v>
      </c>
      <c r="AZ39" s="13">
        <v>23</v>
      </c>
      <c r="BA39" s="13">
        <v>14</v>
      </c>
      <c r="BB39" s="13">
        <v>2081</v>
      </c>
    </row>
    <row r="40" spans="1:54" s="21" customFormat="1" ht="12.75" customHeight="1">
      <c r="A40" s="4" t="s">
        <v>99</v>
      </c>
      <c r="B40" s="249" t="s">
        <v>100</v>
      </c>
      <c r="C40" s="249"/>
      <c r="D40" s="249"/>
      <c r="E40" s="249"/>
      <c r="F40" s="14">
        <v>199120</v>
      </c>
      <c r="G40" s="14">
        <v>161609</v>
      </c>
      <c r="H40" s="14">
        <v>109049</v>
      </c>
      <c r="I40" s="14">
        <v>25011</v>
      </c>
      <c r="J40" s="14">
        <v>10544</v>
      </c>
      <c r="K40" s="14">
        <v>145280</v>
      </c>
      <c r="L40" s="14">
        <v>92862</v>
      </c>
      <c r="M40" s="14">
        <v>47435</v>
      </c>
      <c r="N40" s="14">
        <v>213514</v>
      </c>
      <c r="O40" s="14">
        <v>125658</v>
      </c>
      <c r="P40" s="14">
        <v>115606</v>
      </c>
      <c r="Q40" s="14">
        <v>78935</v>
      </c>
      <c r="R40" s="14">
        <v>58165</v>
      </c>
      <c r="S40" s="14">
        <v>131756</v>
      </c>
      <c r="T40" s="14">
        <v>84230</v>
      </c>
      <c r="U40" s="14">
        <v>51979</v>
      </c>
      <c r="V40" s="14">
        <v>66824</v>
      </c>
      <c r="W40" s="14">
        <v>99271</v>
      </c>
      <c r="X40" s="14">
        <v>15549</v>
      </c>
      <c r="Y40" s="14">
        <v>44417</v>
      </c>
      <c r="Z40" s="14">
        <v>-7413</v>
      </c>
      <c r="AA40" s="14">
        <v>280039</v>
      </c>
      <c r="AB40" s="14">
        <v>162687</v>
      </c>
      <c r="AC40" s="14">
        <v>158523</v>
      </c>
      <c r="AD40" s="14">
        <v>406096</v>
      </c>
      <c r="AE40" s="14">
        <v>319117</v>
      </c>
      <c r="AF40" s="14">
        <v>195623</v>
      </c>
      <c r="AG40" s="14">
        <v>125546</v>
      </c>
      <c r="AH40" s="14">
        <v>399031</v>
      </c>
      <c r="AI40" s="14">
        <v>335677</v>
      </c>
      <c r="AJ40" s="14">
        <v>182962</v>
      </c>
      <c r="AK40" s="14">
        <v>104726</v>
      </c>
      <c r="AL40" s="14">
        <f>+AL27+AL35+AL36+AL37+AL39</f>
        <v>306372</v>
      </c>
      <c r="AM40" s="14">
        <f>+AM27+AM35+AM36+AM37+AM39</f>
        <v>294967</v>
      </c>
      <c r="AN40" s="14">
        <v>147259</v>
      </c>
      <c r="AO40" s="14">
        <f>+AO27+AO35+AO36+AO37+AO39</f>
        <v>101330</v>
      </c>
      <c r="AP40" s="14">
        <v>426082</v>
      </c>
      <c r="AQ40" s="14">
        <f>SUM(AQ27+AQ35+AQ36+AQ37+AQ39)</f>
        <v>450798</v>
      </c>
      <c r="AR40" s="14">
        <f>SUM(AR27+AR35+AR36+AR37+AR39)</f>
        <v>299392</v>
      </c>
      <c r="AS40" s="14">
        <v>153852</v>
      </c>
      <c r="AT40" s="14">
        <v>798559</v>
      </c>
      <c r="AU40" s="14">
        <v>601495</v>
      </c>
      <c r="AV40" s="14">
        <v>410855</v>
      </c>
      <c r="AW40" s="14">
        <v>223884</v>
      </c>
      <c r="AX40" s="14">
        <v>682008</v>
      </c>
      <c r="AY40" s="14">
        <v>501831</v>
      </c>
      <c r="AZ40" s="14">
        <v>335272</v>
      </c>
      <c r="BA40" s="14">
        <v>171913</v>
      </c>
      <c r="BB40" s="14">
        <v>569730</v>
      </c>
    </row>
    <row r="41" spans="1:54" s="21" customFormat="1" ht="11.25">
      <c r="A41" s="4" t="s">
        <v>101</v>
      </c>
      <c r="B41" s="5" t="s">
        <v>102</v>
      </c>
      <c r="C41" s="5"/>
      <c r="D41" s="5"/>
      <c r="F41" s="13">
        <v>-22238</v>
      </c>
      <c r="G41" s="13">
        <v>-13513</v>
      </c>
      <c r="H41" s="13">
        <v>10183</v>
      </c>
      <c r="I41" s="13">
        <v>-7743</v>
      </c>
      <c r="J41" s="13">
        <v>5270</v>
      </c>
      <c r="K41" s="13">
        <v>-40631</v>
      </c>
      <c r="L41" s="13">
        <v>-27793</v>
      </c>
      <c r="M41" s="13">
        <v>-14104</v>
      </c>
      <c r="N41" s="13">
        <v>5718</v>
      </c>
      <c r="O41" s="13">
        <v>-36914</v>
      </c>
      <c r="P41" s="13">
        <v>-34601</v>
      </c>
      <c r="Q41" s="13">
        <v>-27234</v>
      </c>
      <c r="R41" s="13">
        <v>-28384</v>
      </c>
      <c r="S41" s="13">
        <v>-55940</v>
      </c>
      <c r="T41" s="13">
        <v>-41682</v>
      </c>
      <c r="U41" s="13">
        <v>-20760</v>
      </c>
      <c r="V41" s="13">
        <v>-51968</v>
      </c>
      <c r="W41" s="13">
        <v>-77309</v>
      </c>
      <c r="X41" s="13">
        <v>-35883</v>
      </c>
      <c r="Y41" s="13">
        <v>-30509</v>
      </c>
      <c r="Z41" s="13">
        <v>-25185</v>
      </c>
      <c r="AA41" s="13">
        <v>-142480</v>
      </c>
      <c r="AB41" s="13">
        <v>-85449</v>
      </c>
      <c r="AC41" s="13">
        <v>-64748</v>
      </c>
      <c r="AD41" s="13">
        <v>-162165</v>
      </c>
      <c r="AE41" s="13">
        <v>-156457</v>
      </c>
      <c r="AF41" s="13">
        <v>-101065</v>
      </c>
      <c r="AG41" s="13">
        <v>-53297</v>
      </c>
      <c r="AH41" s="13">
        <v>-179413</v>
      </c>
      <c r="AI41" s="13">
        <v>-138691</v>
      </c>
      <c r="AJ41" s="13">
        <v>-78172</v>
      </c>
      <c r="AK41" s="13">
        <v>-44737</v>
      </c>
      <c r="AL41" s="13">
        <v>-145289</v>
      </c>
      <c r="AM41" s="13">
        <f>-44965-28454-59850</f>
        <v>-133269</v>
      </c>
      <c r="AN41" s="13">
        <f>-44965-28454</f>
        <v>-73419</v>
      </c>
      <c r="AO41" s="13">
        <v>-44965</v>
      </c>
      <c r="AP41" s="13">
        <v>-217215</v>
      </c>
      <c r="AQ41" s="13">
        <v>-175101</v>
      </c>
      <c r="AR41" s="13">
        <v>-111453</v>
      </c>
      <c r="AS41" s="13">
        <v>-56762</v>
      </c>
      <c r="AT41" s="13">
        <v>-330491</v>
      </c>
      <c r="AU41" s="13">
        <v>-232463</v>
      </c>
      <c r="AV41" s="13">
        <v>-158127</v>
      </c>
      <c r="AW41" s="13">
        <v>-88149</v>
      </c>
      <c r="AX41" s="13">
        <v>-265614</v>
      </c>
      <c r="AY41" s="13">
        <v>-202635</v>
      </c>
      <c r="AZ41" s="13">
        <v>-134345</v>
      </c>
      <c r="BA41" s="13">
        <v>-69302</v>
      </c>
      <c r="BB41" s="13">
        <v>-231723</v>
      </c>
    </row>
    <row r="42" spans="1:54" s="21" customFormat="1" ht="12.75" customHeight="1">
      <c r="A42" s="4" t="s">
        <v>103</v>
      </c>
      <c r="B42" s="249" t="s">
        <v>104</v>
      </c>
      <c r="C42" s="249"/>
      <c r="D42" s="249"/>
      <c r="E42" s="249"/>
      <c r="F42" s="14">
        <v>176882</v>
      </c>
      <c r="G42" s="14">
        <v>148096</v>
      </c>
      <c r="H42" s="14">
        <v>119232</v>
      </c>
      <c r="I42" s="14">
        <v>17268</v>
      </c>
      <c r="J42" s="14">
        <v>15814</v>
      </c>
      <c r="K42" s="14">
        <v>104649</v>
      </c>
      <c r="L42" s="14">
        <v>65069</v>
      </c>
      <c r="M42" s="14">
        <v>33331</v>
      </c>
      <c r="N42" s="14">
        <v>219232</v>
      </c>
      <c r="O42" s="14">
        <v>88744</v>
      </c>
      <c r="P42" s="14">
        <v>81005</v>
      </c>
      <c r="Q42" s="14">
        <v>51701</v>
      </c>
      <c r="R42" s="14">
        <v>29781</v>
      </c>
      <c r="S42" s="14">
        <v>75816</v>
      </c>
      <c r="T42" s="14">
        <v>42548</v>
      </c>
      <c r="U42" s="14">
        <v>31219</v>
      </c>
      <c r="V42" s="14">
        <v>14856</v>
      </c>
      <c r="W42" s="14">
        <v>21962</v>
      </c>
      <c r="X42" s="14">
        <v>-20334</v>
      </c>
      <c r="Y42" s="14">
        <v>13908</v>
      </c>
      <c r="Z42" s="14">
        <v>-32598</v>
      </c>
      <c r="AA42" s="14">
        <v>137559</v>
      </c>
      <c r="AB42" s="14">
        <v>77238</v>
      </c>
      <c r="AC42" s="14">
        <v>93775</v>
      </c>
      <c r="AD42" s="14">
        <v>243931</v>
      </c>
      <c r="AE42" s="14">
        <v>162660</v>
      </c>
      <c r="AF42" s="14">
        <v>94558</v>
      </c>
      <c r="AG42" s="14">
        <v>72249</v>
      </c>
      <c r="AH42" s="14">
        <v>219618</v>
      </c>
      <c r="AI42" s="14">
        <v>196986</v>
      </c>
      <c r="AJ42" s="14">
        <v>104790</v>
      </c>
      <c r="AK42" s="14">
        <v>59989</v>
      </c>
      <c r="AL42" s="14">
        <f>+AL40+AL41</f>
        <v>161083</v>
      </c>
      <c r="AM42" s="14">
        <f>+AM40+AM41</f>
        <v>161698</v>
      </c>
      <c r="AN42" s="14">
        <f>+AN40+AN41</f>
        <v>73840</v>
      </c>
      <c r="AO42" s="14">
        <f>+AO40+AO41</f>
        <v>56365</v>
      </c>
      <c r="AP42" s="14">
        <v>208867</v>
      </c>
      <c r="AQ42" s="14">
        <f>+AQ40+AQ41</f>
        <v>275697</v>
      </c>
      <c r="AR42" s="14">
        <f>+AR40+AR41</f>
        <v>187939</v>
      </c>
      <c r="AS42" s="14">
        <f>+AS40+AS41</f>
        <v>97090</v>
      </c>
      <c r="AT42" s="14">
        <v>468068</v>
      </c>
      <c r="AU42" s="14">
        <v>369032</v>
      </c>
      <c r="AV42" s="14">
        <v>252728</v>
      </c>
      <c r="AW42" s="14">
        <v>135735</v>
      </c>
      <c r="AX42" s="14">
        <v>416394</v>
      </c>
      <c r="AY42" s="14">
        <v>299196</v>
      </c>
      <c r="AZ42" s="14">
        <v>200927</v>
      </c>
      <c r="BA42" s="14">
        <v>102611</v>
      </c>
      <c r="BB42" s="14">
        <v>338007</v>
      </c>
    </row>
    <row r="43" spans="1:54" s="21" customFormat="1" ht="21.75" customHeight="1">
      <c r="A43" s="9" t="s">
        <v>105</v>
      </c>
      <c r="B43" s="248" t="s">
        <v>106</v>
      </c>
      <c r="C43" s="248"/>
      <c r="D43" s="248"/>
      <c r="E43" s="248"/>
      <c r="F43" s="89">
        <v>0</v>
      </c>
      <c r="G43" s="89">
        <v>0</v>
      </c>
      <c r="H43" s="89">
        <v>0</v>
      </c>
      <c r="I43" s="89">
        <v>0</v>
      </c>
      <c r="J43" s="89">
        <v>0</v>
      </c>
      <c r="K43" s="89">
        <v>0</v>
      </c>
      <c r="L43" s="89">
        <v>0</v>
      </c>
      <c r="M43" s="89">
        <v>0</v>
      </c>
      <c r="N43" s="89">
        <v>0</v>
      </c>
      <c r="O43" s="89">
        <v>0</v>
      </c>
      <c r="P43" s="89">
        <v>0</v>
      </c>
      <c r="Q43" s="89">
        <v>0</v>
      </c>
      <c r="R43" s="89">
        <v>0</v>
      </c>
      <c r="S43" s="89">
        <v>0</v>
      </c>
      <c r="T43" s="89">
        <v>0</v>
      </c>
      <c r="U43" s="89">
        <v>0</v>
      </c>
      <c r="V43" s="89">
        <v>1258</v>
      </c>
      <c r="W43" s="89">
        <v>1258</v>
      </c>
      <c r="X43" s="89">
        <v>443</v>
      </c>
      <c r="Y43" s="89">
        <v>1525</v>
      </c>
      <c r="Z43" s="89">
        <v>0</v>
      </c>
      <c r="AA43" s="89">
        <v>482</v>
      </c>
      <c r="AB43" s="89">
        <v>0</v>
      </c>
      <c r="AC43" s="89">
        <v>0</v>
      </c>
      <c r="AD43" s="89">
        <v>-6572</v>
      </c>
      <c r="AE43" s="89">
        <v>2108</v>
      </c>
      <c r="AF43" s="89">
        <v>1506</v>
      </c>
      <c r="AG43" s="89">
        <v>199</v>
      </c>
      <c r="AH43" s="89">
        <v>107739</v>
      </c>
      <c r="AI43" s="89">
        <v>110793</v>
      </c>
      <c r="AJ43" s="89">
        <v>110462</v>
      </c>
      <c r="AK43" s="89">
        <v>5813</v>
      </c>
      <c r="AL43" s="89">
        <v>8390</v>
      </c>
      <c r="AM43" s="89">
        <f>3890+5508</f>
        <v>9398</v>
      </c>
      <c r="AN43" s="89">
        <v>3890</v>
      </c>
      <c r="AO43" s="89">
        <v>0</v>
      </c>
      <c r="AP43" s="89">
        <v>0</v>
      </c>
      <c r="AQ43" s="89">
        <v>0</v>
      </c>
      <c r="AR43" s="89">
        <v>0</v>
      </c>
      <c r="AS43" s="89">
        <v>0</v>
      </c>
      <c r="AT43" s="89">
        <v>0</v>
      </c>
      <c r="AU43" s="89">
        <v>0</v>
      </c>
      <c r="AV43" s="89">
        <v>0</v>
      </c>
      <c r="AW43" s="89">
        <v>0</v>
      </c>
      <c r="AX43" s="89">
        <v>0</v>
      </c>
      <c r="AY43" s="89"/>
      <c r="AZ43" s="89">
        <v>0</v>
      </c>
      <c r="BA43" s="89">
        <v>0</v>
      </c>
      <c r="BB43" s="89">
        <v>0</v>
      </c>
    </row>
    <row r="44" spans="1:54" s="21" customFormat="1" ht="11.25">
      <c r="A44" s="4" t="s">
        <v>107</v>
      </c>
      <c r="B44" s="8" t="s">
        <v>61</v>
      </c>
      <c r="C44" s="8"/>
      <c r="D44" s="8"/>
      <c r="E44" s="40"/>
      <c r="F44" s="7">
        <v>176882</v>
      </c>
      <c r="G44" s="7">
        <v>148096</v>
      </c>
      <c r="H44" s="7">
        <v>119232</v>
      </c>
      <c r="I44" s="7">
        <v>17268</v>
      </c>
      <c r="J44" s="7">
        <v>15814</v>
      </c>
      <c r="K44" s="7">
        <v>104649</v>
      </c>
      <c r="L44" s="7">
        <v>65069</v>
      </c>
      <c r="M44" s="7">
        <v>33331</v>
      </c>
      <c r="N44" s="7">
        <v>219232</v>
      </c>
      <c r="O44" s="7">
        <v>88744</v>
      </c>
      <c r="P44" s="7">
        <v>81005</v>
      </c>
      <c r="Q44" s="7">
        <v>51701</v>
      </c>
      <c r="R44" s="7">
        <v>29781</v>
      </c>
      <c r="S44" s="7">
        <v>75816</v>
      </c>
      <c r="T44" s="7">
        <v>42548</v>
      </c>
      <c r="U44" s="7">
        <v>31219</v>
      </c>
      <c r="V44" s="7">
        <v>16114</v>
      </c>
      <c r="W44" s="7">
        <v>23220</v>
      </c>
      <c r="X44" s="7">
        <v>-19891</v>
      </c>
      <c r="Y44" s="7">
        <v>15433</v>
      </c>
      <c r="Z44" s="7">
        <v>-32598</v>
      </c>
      <c r="AA44" s="7">
        <v>138041</v>
      </c>
      <c r="AB44" s="7">
        <v>77238</v>
      </c>
      <c r="AC44" s="7">
        <v>93775</v>
      </c>
      <c r="AD44" s="7">
        <v>237359</v>
      </c>
      <c r="AE44" s="7">
        <v>164768</v>
      </c>
      <c r="AF44" s="7">
        <v>96064</v>
      </c>
      <c r="AG44" s="7">
        <v>72448</v>
      </c>
      <c r="AH44" s="7">
        <v>327357</v>
      </c>
      <c r="AI44" s="7">
        <v>307779</v>
      </c>
      <c r="AJ44" s="7">
        <v>215252</v>
      </c>
      <c r="AK44" s="7">
        <v>65802</v>
      </c>
      <c r="AL44" s="7">
        <f>+AL42+AL43</f>
        <v>169473</v>
      </c>
      <c r="AM44" s="7">
        <f>+AM42+AM43</f>
        <v>171096</v>
      </c>
      <c r="AN44" s="7">
        <f>+AN42+AN43</f>
        <v>77730</v>
      </c>
      <c r="AO44" s="7">
        <f>+AO42+AO43</f>
        <v>56365</v>
      </c>
      <c r="AP44" s="7">
        <v>208867</v>
      </c>
      <c r="AQ44" s="7">
        <f>+AQ42</f>
        <v>275697</v>
      </c>
      <c r="AR44" s="7">
        <f>+AR42+AR43</f>
        <v>187939</v>
      </c>
      <c r="AS44" s="7">
        <v>97090</v>
      </c>
      <c r="AT44" s="7">
        <v>468068</v>
      </c>
      <c r="AU44" s="7">
        <v>369032</v>
      </c>
      <c r="AV44" s="7">
        <v>252728</v>
      </c>
      <c r="AW44" s="7">
        <v>135735</v>
      </c>
      <c r="AX44" s="7">
        <v>416394</v>
      </c>
      <c r="AY44" s="7">
        <v>299196</v>
      </c>
      <c r="AZ44" s="7">
        <v>200927</v>
      </c>
      <c r="BA44" s="7">
        <v>102611</v>
      </c>
      <c r="BB44" s="7">
        <v>338007</v>
      </c>
    </row>
    <row r="45" spans="1:54" s="21" customFormat="1" ht="11.25">
      <c r="A45" s="4" t="s">
        <v>108</v>
      </c>
      <c r="B45" s="5" t="s">
        <v>109</v>
      </c>
      <c r="C45" s="5"/>
      <c r="D45" s="5"/>
      <c r="F45" s="90">
        <v>-444</v>
      </c>
      <c r="G45" s="90">
        <v>862</v>
      </c>
      <c r="H45" s="90">
        <v>-170</v>
      </c>
      <c r="I45" s="90">
        <v>-2710</v>
      </c>
      <c r="J45" s="90">
        <v>-1515</v>
      </c>
      <c r="K45" s="90">
        <v>-3489</v>
      </c>
      <c r="L45" s="90">
        <v>-327</v>
      </c>
      <c r="M45" s="90">
        <v>-2356</v>
      </c>
      <c r="N45" s="90">
        <v>1429</v>
      </c>
      <c r="O45" s="90">
        <v>-6158</v>
      </c>
      <c r="P45" s="90">
        <v>-7774</v>
      </c>
      <c r="Q45" s="90">
        <v>-6504</v>
      </c>
      <c r="R45" s="90">
        <v>-14984</v>
      </c>
      <c r="S45" s="90">
        <v>-14715</v>
      </c>
      <c r="T45" s="90">
        <v>-6648</v>
      </c>
      <c r="U45" s="90">
        <v>-2947</v>
      </c>
      <c r="V45" s="90">
        <v>-8938</v>
      </c>
      <c r="W45" s="90">
        <v>-9014</v>
      </c>
      <c r="X45" s="90">
        <v>-1573</v>
      </c>
      <c r="Y45" s="90">
        <v>-1041</v>
      </c>
      <c r="Z45" s="90">
        <v>21327</v>
      </c>
      <c r="AA45" s="90">
        <v>3666</v>
      </c>
      <c r="AB45" s="90">
        <v>5539</v>
      </c>
      <c r="AC45" s="90">
        <v>-6038</v>
      </c>
      <c r="AD45" s="90">
        <v>-22720</v>
      </c>
      <c r="AE45" s="90">
        <v>-25553</v>
      </c>
      <c r="AF45" s="90">
        <v>-15970</v>
      </c>
      <c r="AG45" s="90">
        <v>-10897</v>
      </c>
      <c r="AH45" s="90">
        <v>-34233</v>
      </c>
      <c r="AI45" s="90">
        <v>-36578</v>
      </c>
      <c r="AJ45" s="90">
        <v>-22277</v>
      </c>
      <c r="AK45" s="90">
        <v>-7814</v>
      </c>
      <c r="AL45" s="90">
        <v>-53686</v>
      </c>
      <c r="AM45" s="90">
        <f>-17444-16560-17925</f>
        <v>-51929</v>
      </c>
      <c r="AN45" s="90">
        <f>-17444-16560</f>
        <v>-34004</v>
      </c>
      <c r="AO45" s="90">
        <v>-17444</v>
      </c>
      <c r="AP45" s="90">
        <v>-75204</v>
      </c>
      <c r="AQ45" s="90">
        <v>-66347</v>
      </c>
      <c r="AR45" s="90">
        <v>-40006</v>
      </c>
      <c r="AS45" s="90">
        <v>-26609</v>
      </c>
      <c r="AT45" s="90">
        <v>-93613</v>
      </c>
      <c r="AU45" s="90">
        <v>-78885</v>
      </c>
      <c r="AV45" s="90">
        <v>-54940</v>
      </c>
      <c r="AW45" s="90">
        <v>-31747</v>
      </c>
      <c r="AX45" s="90">
        <v>-69563</v>
      </c>
      <c r="AY45" s="90">
        <v>-53702</v>
      </c>
      <c r="AZ45" s="90">
        <v>-34159</v>
      </c>
      <c r="BA45" s="90">
        <v>-21836</v>
      </c>
      <c r="BB45" s="90">
        <v>-61674</v>
      </c>
    </row>
    <row r="46" spans="1:54" s="21" customFormat="1" ht="12.75" customHeight="1">
      <c r="A46" s="24" t="s">
        <v>110</v>
      </c>
      <c r="B46" s="247" t="s">
        <v>111</v>
      </c>
      <c r="C46" s="247"/>
      <c r="D46" s="247"/>
      <c r="E46" s="247"/>
      <c r="F46" s="91">
        <v>176438</v>
      </c>
      <c r="G46" s="91">
        <v>148958</v>
      </c>
      <c r="H46" s="91">
        <v>119062</v>
      </c>
      <c r="I46" s="91">
        <v>14558</v>
      </c>
      <c r="J46" s="91">
        <v>14299</v>
      </c>
      <c r="K46" s="91">
        <v>101160</v>
      </c>
      <c r="L46" s="91">
        <v>64742</v>
      </c>
      <c r="M46" s="91">
        <v>30975</v>
      </c>
      <c r="N46" s="91">
        <v>220661</v>
      </c>
      <c r="O46" s="91">
        <v>82586</v>
      </c>
      <c r="P46" s="91">
        <v>73231</v>
      </c>
      <c r="Q46" s="91">
        <v>45197</v>
      </c>
      <c r="R46" s="91">
        <v>14797</v>
      </c>
      <c r="S46" s="91">
        <v>61101</v>
      </c>
      <c r="T46" s="91">
        <v>35900</v>
      </c>
      <c r="U46" s="91">
        <v>28272</v>
      </c>
      <c r="V46" s="91">
        <v>7176</v>
      </c>
      <c r="W46" s="91">
        <v>14206</v>
      </c>
      <c r="X46" s="91">
        <v>-21464</v>
      </c>
      <c r="Y46" s="91">
        <v>14392</v>
      </c>
      <c r="Z46" s="91">
        <v>-11271</v>
      </c>
      <c r="AA46" s="91">
        <v>141707</v>
      </c>
      <c r="AB46" s="91">
        <v>82777</v>
      </c>
      <c r="AC46" s="91">
        <v>87737</v>
      </c>
      <c r="AD46" s="91">
        <v>214639</v>
      </c>
      <c r="AE46" s="91">
        <v>139215</v>
      </c>
      <c r="AF46" s="91">
        <v>80094</v>
      </c>
      <c r="AG46" s="91">
        <v>61551</v>
      </c>
      <c r="AH46" s="91">
        <v>293124</v>
      </c>
      <c r="AI46" s="91">
        <v>271201</v>
      </c>
      <c r="AJ46" s="91">
        <v>192975</v>
      </c>
      <c r="AK46" s="91">
        <v>57988</v>
      </c>
      <c r="AL46" s="91">
        <f>+AL44+AL45</f>
        <v>115787</v>
      </c>
      <c r="AM46" s="91">
        <f>+AM44+AM45</f>
        <v>119167</v>
      </c>
      <c r="AN46" s="91">
        <f>+AN44+AN45</f>
        <v>43726</v>
      </c>
      <c r="AO46" s="91">
        <f>+AO44+AO45</f>
        <v>38921</v>
      </c>
      <c r="AP46" s="91">
        <v>133663</v>
      </c>
      <c r="AQ46" s="91">
        <f>SUM(AQ44+AQ45)</f>
        <v>209350</v>
      </c>
      <c r="AR46" s="91">
        <f>SUM(AR44+AR45)</f>
        <v>147933</v>
      </c>
      <c r="AS46" s="91">
        <f>SUM(AS44+AS45)</f>
        <v>70481</v>
      </c>
      <c r="AT46" s="91">
        <v>374455</v>
      </c>
      <c r="AU46" s="91">
        <v>290147</v>
      </c>
      <c r="AV46" s="91">
        <v>197788</v>
      </c>
      <c r="AW46" s="91">
        <v>103988</v>
      </c>
      <c r="AX46" s="91">
        <v>346831</v>
      </c>
      <c r="AY46" s="91">
        <v>245494</v>
      </c>
      <c r="AZ46" s="91">
        <v>166768</v>
      </c>
      <c r="BA46" s="91">
        <v>80775</v>
      </c>
      <c r="BB46" s="91">
        <v>276333</v>
      </c>
    </row>
    <row r="47" spans="1:54" s="3" customFormat="1"/>
    <row r="48" spans="1:54" s="3" customFormat="1"/>
    <row r="49" s="3" customFormat="1"/>
    <row r="50" s="3" customFormat="1"/>
    <row r="51" s="3" customFormat="1"/>
    <row r="52" s="3" customFormat="1"/>
  </sheetData>
  <mergeCells count="6">
    <mergeCell ref="B46:E46"/>
    <mergeCell ref="B43:E43"/>
    <mergeCell ref="A4:E4"/>
    <mergeCell ref="B20:E20"/>
    <mergeCell ref="B40:E40"/>
    <mergeCell ref="B42:E42"/>
  </mergeCells>
  <phoneticPr fontId="0" type="noConversion"/>
  <pageMargins left="0.75" right="0.75" top="1" bottom="1" header="0.5" footer="0.5"/>
  <pageSetup paperSize="9" orientation="portrait" verticalDpi="4" r:id="rId1"/>
  <headerFooter alignWithMargins="0"/>
  <ignoredErrors>
    <ignoredError sqref="AQ39:AS46 AQ8:AS37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glio2">
    <tabColor rgb="FFFFC000"/>
  </sheetPr>
  <dimension ref="A1:CM95"/>
  <sheetViews>
    <sheetView showGridLines="0" topLeftCell="A2" zoomScaleNormal="100" workbookViewId="0">
      <pane xSplit="5" ySplit="5" topLeftCell="BS7" activePane="bottomRight" state="frozen"/>
      <selection activeCell="AF22" sqref="AF22"/>
      <selection pane="topRight" activeCell="AF22" sqref="AF22"/>
      <selection pane="bottomLeft" activeCell="AF22" sqref="AF22"/>
      <selection pane="bottomRight" activeCell="AF22" sqref="AF22"/>
    </sheetView>
  </sheetViews>
  <sheetFormatPr defaultColWidth="8.85546875" defaultRowHeight="12.75"/>
  <cols>
    <col min="1" max="1" width="4.5703125" style="3" customWidth="1"/>
    <col min="2" max="4" width="2.140625" style="3" customWidth="1"/>
    <col min="5" max="5" width="45.7109375" style="3" customWidth="1"/>
    <col min="6" max="12" width="13" style="3" customWidth="1"/>
    <col min="13" max="49" width="10.140625" style="3" customWidth="1"/>
    <col min="50" max="54" width="10.140625" customWidth="1"/>
    <col min="55" max="89" width="10.140625" style="3" customWidth="1"/>
    <col min="90" max="16384" width="8.85546875" style="3"/>
  </cols>
  <sheetData>
    <row r="1" spans="1:91" ht="30" hidden="1" customHeight="1"/>
    <row r="2" spans="1:91" ht="26.25">
      <c r="A2" s="1" t="s">
        <v>139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L2" s="12"/>
      <c r="AM2" s="11"/>
      <c r="AP2"/>
      <c r="AX2" s="3"/>
      <c r="AY2" s="3"/>
      <c r="AZ2" s="3"/>
      <c r="BA2" s="3"/>
      <c r="BB2" s="3"/>
    </row>
    <row r="3" spans="1:91" s="21" customFormat="1" ht="24.75" customHeight="1">
      <c r="A3" s="41"/>
      <c r="AX3" s="36"/>
      <c r="AY3" s="36"/>
      <c r="AZ3" s="36"/>
      <c r="BA3" s="36"/>
      <c r="BB3" s="36"/>
      <c r="BF3" s="42"/>
      <c r="BG3" s="42"/>
      <c r="BJ3" s="43"/>
      <c r="BK3" s="44"/>
      <c r="BL3" s="44"/>
      <c r="BM3" s="44"/>
      <c r="BN3" s="44"/>
      <c r="BV3" s="250"/>
      <c r="BW3" s="250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</row>
    <row r="4" spans="1:91" s="21" customFormat="1" ht="13.5" thickBot="1">
      <c r="A4" s="81" t="s">
        <v>277</v>
      </c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36"/>
      <c r="AY4" s="36"/>
      <c r="AZ4" s="36"/>
      <c r="BA4" s="36"/>
      <c r="BB4" s="36"/>
      <c r="BJ4" s="46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</row>
    <row r="5" spans="1:91" s="47" customFormat="1" ht="36" customHeight="1" thickBot="1">
      <c r="A5" s="252" t="s">
        <v>64</v>
      </c>
      <c r="B5" s="252"/>
      <c r="C5" s="252"/>
      <c r="D5" s="252"/>
      <c r="E5" s="252">
        <v>2005</v>
      </c>
      <c r="F5" s="25" t="s">
        <v>278</v>
      </c>
      <c r="G5" s="25" t="s">
        <v>300</v>
      </c>
      <c r="H5" s="25" t="s">
        <v>298</v>
      </c>
      <c r="I5" s="25" t="s">
        <v>303</v>
      </c>
      <c r="J5" s="25" t="s">
        <v>289</v>
      </c>
      <c r="K5" s="25" t="s">
        <v>307</v>
      </c>
      <c r="L5" s="25" t="s">
        <v>304</v>
      </c>
      <c r="M5" s="25" t="s">
        <v>232</v>
      </c>
      <c r="N5" s="25" t="s">
        <v>241</v>
      </c>
      <c r="O5" s="25" t="s">
        <v>233</v>
      </c>
      <c r="P5" s="25" t="s">
        <v>242</v>
      </c>
      <c r="Q5" s="25" t="s">
        <v>240</v>
      </c>
      <c r="R5" s="25" t="s">
        <v>246</v>
      </c>
      <c r="S5" s="25" t="s">
        <v>245</v>
      </c>
      <c r="T5" s="25" t="s">
        <v>186</v>
      </c>
      <c r="U5" s="25" t="s">
        <v>226</v>
      </c>
      <c r="V5" s="25" t="s">
        <v>185</v>
      </c>
      <c r="W5" s="25" t="s">
        <v>243</v>
      </c>
      <c r="X5" s="25" t="s">
        <v>228</v>
      </c>
      <c r="Y5" s="25" t="s">
        <v>244</v>
      </c>
      <c r="Z5" s="25" t="s">
        <v>230</v>
      </c>
      <c r="AA5" s="25" t="s">
        <v>180</v>
      </c>
      <c r="AB5" s="25" t="s">
        <v>181</v>
      </c>
      <c r="AC5" s="25" t="s">
        <v>179</v>
      </c>
      <c r="AD5" s="25" t="s">
        <v>182</v>
      </c>
      <c r="AE5" s="25" t="s">
        <v>178</v>
      </c>
      <c r="AF5" s="25" t="s">
        <v>184</v>
      </c>
      <c r="AG5" s="25" t="s">
        <v>183</v>
      </c>
      <c r="AH5" s="25" t="s">
        <v>174</v>
      </c>
      <c r="AI5" s="25" t="s">
        <v>175</v>
      </c>
      <c r="AJ5" s="25" t="s">
        <v>173</v>
      </c>
      <c r="AK5" s="25" t="s">
        <v>176</v>
      </c>
      <c r="AL5" s="25" t="s">
        <v>172</v>
      </c>
      <c r="AM5" s="25" t="s">
        <v>177</v>
      </c>
      <c r="AN5" s="25" t="s">
        <v>171</v>
      </c>
      <c r="AO5" s="25" t="s">
        <v>166</v>
      </c>
      <c r="AP5" s="25" t="s">
        <v>169</v>
      </c>
      <c r="AQ5" s="25" t="s">
        <v>167</v>
      </c>
      <c r="AR5" s="25" t="s">
        <v>165</v>
      </c>
      <c r="AS5" s="25" t="s">
        <v>168</v>
      </c>
      <c r="AT5" s="25" t="s">
        <v>164</v>
      </c>
      <c r="AU5" s="25" t="s">
        <v>163</v>
      </c>
      <c r="AV5" s="25" t="s">
        <v>2</v>
      </c>
      <c r="AW5" s="25" t="s">
        <v>140</v>
      </c>
      <c r="AX5" s="25" t="s">
        <v>141</v>
      </c>
      <c r="AY5" s="25" t="s">
        <v>160</v>
      </c>
      <c r="AZ5" s="25" t="s">
        <v>158</v>
      </c>
      <c r="BA5" s="25" t="s">
        <v>162</v>
      </c>
      <c r="BB5" s="25" t="s">
        <v>161</v>
      </c>
      <c r="BC5" s="25" t="s">
        <v>65</v>
      </c>
      <c r="BD5" s="25" t="s">
        <v>117</v>
      </c>
      <c r="BE5" s="25" t="s">
        <v>116</v>
      </c>
      <c r="BF5" s="25" t="s">
        <v>118</v>
      </c>
      <c r="BG5" s="25" t="s">
        <v>115</v>
      </c>
      <c r="BH5" s="25" t="s">
        <v>119</v>
      </c>
      <c r="BI5" s="25" t="s">
        <v>120</v>
      </c>
      <c r="BJ5" s="25" t="s">
        <v>145</v>
      </c>
      <c r="BK5" s="25" t="s">
        <v>146</v>
      </c>
      <c r="BL5" s="25" t="s">
        <v>144</v>
      </c>
      <c r="BM5" s="25" t="s">
        <v>147</v>
      </c>
      <c r="BN5" s="25" t="s">
        <v>115</v>
      </c>
      <c r="BO5" s="25" t="s">
        <v>148</v>
      </c>
      <c r="BP5" s="25" t="s">
        <v>149</v>
      </c>
      <c r="BQ5" s="25" t="s">
        <v>152</v>
      </c>
      <c r="BR5" s="25" t="s">
        <v>154</v>
      </c>
      <c r="BS5" s="25" t="s">
        <v>153</v>
      </c>
      <c r="BT5" s="25" t="s">
        <v>155</v>
      </c>
      <c r="BU5" s="25" t="s">
        <v>151</v>
      </c>
      <c r="BV5" s="25" t="s">
        <v>156</v>
      </c>
      <c r="BW5" s="25" t="s">
        <v>157</v>
      </c>
      <c r="BX5" s="25" t="s">
        <v>282</v>
      </c>
      <c r="BY5" s="25" t="s">
        <v>292</v>
      </c>
      <c r="BZ5" s="25" t="s">
        <v>281</v>
      </c>
      <c r="CA5" s="25" t="s">
        <v>294</v>
      </c>
      <c r="CB5" s="25" t="s">
        <v>289</v>
      </c>
      <c r="CC5" s="25" t="s">
        <v>296</v>
      </c>
      <c r="CD5" s="25" t="s">
        <v>290</v>
      </c>
      <c r="CE5" s="25" t="s">
        <v>286</v>
      </c>
      <c r="CF5" s="25" t="s">
        <v>293</v>
      </c>
      <c r="CG5" s="25" t="s">
        <v>285</v>
      </c>
      <c r="CH5" s="25" t="s">
        <v>295</v>
      </c>
      <c r="CI5" s="25" t="s">
        <v>284</v>
      </c>
      <c r="CJ5" s="25" t="s">
        <v>297</v>
      </c>
      <c r="CK5" s="25" t="s">
        <v>291</v>
      </c>
      <c r="CL5" s="92"/>
      <c r="CM5" s="92"/>
    </row>
    <row r="6" spans="1:91" s="21" customFormat="1" ht="3" customHeight="1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</row>
    <row r="7" spans="1:91" s="21" customFormat="1" ht="11.25">
      <c r="A7" s="4" t="s">
        <v>4</v>
      </c>
      <c r="B7" s="5" t="s">
        <v>66</v>
      </c>
      <c r="C7" s="5"/>
      <c r="D7" s="5"/>
      <c r="F7" s="13">
        <v>355137</v>
      </c>
      <c r="G7" s="13">
        <f>+H7-F7</f>
        <v>351464</v>
      </c>
      <c r="H7" s="13">
        <v>706601</v>
      </c>
      <c r="I7" s="13">
        <f>+J7-H7</f>
        <v>358537</v>
      </c>
      <c r="J7" s="13">
        <v>1065138</v>
      </c>
      <c r="K7" s="13">
        <f>+L7-J7</f>
        <v>351258</v>
      </c>
      <c r="L7" s="13">
        <v>1416396</v>
      </c>
      <c r="M7" s="13">
        <v>384670</v>
      </c>
      <c r="N7" s="13">
        <v>373463</v>
      </c>
      <c r="O7" s="13">
        <v>758133</v>
      </c>
      <c r="P7" s="13">
        <v>359459</v>
      </c>
      <c r="Q7" s="13">
        <v>1117592</v>
      </c>
      <c r="R7" s="13">
        <v>365459</v>
      </c>
      <c r="S7" s="13">
        <v>1483051</v>
      </c>
      <c r="T7" s="13">
        <v>431035</v>
      </c>
      <c r="U7" s="13">
        <v>415453</v>
      </c>
      <c r="V7" s="13">
        <v>846488</v>
      </c>
      <c r="W7" s="13">
        <v>402855</v>
      </c>
      <c r="X7" s="13">
        <v>1249343</v>
      </c>
      <c r="Y7" s="13">
        <v>399056</v>
      </c>
      <c r="Z7" s="13">
        <v>1648399</v>
      </c>
      <c r="AA7" s="13">
        <v>494548</v>
      </c>
      <c r="AB7" s="13">
        <f>+AC7-AA7</f>
        <v>489785</v>
      </c>
      <c r="AC7" s="13">
        <v>984333</v>
      </c>
      <c r="AD7" s="13">
        <v>470618</v>
      </c>
      <c r="AE7" s="13">
        <v>1454951</v>
      </c>
      <c r="AF7" s="13">
        <v>453337</v>
      </c>
      <c r="AG7" s="13">
        <v>1908288</v>
      </c>
      <c r="AH7" s="13">
        <v>522914</v>
      </c>
      <c r="AI7" s="13">
        <v>522451</v>
      </c>
      <c r="AJ7" s="13">
        <v>1045365</v>
      </c>
      <c r="AK7" s="13">
        <v>510407</v>
      </c>
      <c r="AL7" s="13">
        <v>1555772</v>
      </c>
      <c r="AM7" s="13">
        <v>504813</v>
      </c>
      <c r="AN7" s="13">
        <v>2060585</v>
      </c>
      <c r="AO7" s="13">
        <v>566498</v>
      </c>
      <c r="AP7" s="13">
        <v>546668</v>
      </c>
      <c r="AQ7" s="13">
        <v>1113166</v>
      </c>
      <c r="AR7" s="13">
        <v>541942</v>
      </c>
      <c r="AS7" s="13">
        <v>1655108</v>
      </c>
      <c r="AT7" s="13">
        <v>541341</v>
      </c>
      <c r="AU7" s="13">
        <v>2196449</v>
      </c>
      <c r="AV7" s="13">
        <v>479437</v>
      </c>
      <c r="AW7" s="13">
        <v>512901</v>
      </c>
      <c r="AX7" s="13">
        <v>992338</v>
      </c>
      <c r="AY7" s="13">
        <v>545861</v>
      </c>
      <c r="AZ7" s="13">
        <v>1538199</v>
      </c>
      <c r="BA7" s="13">
        <v>568592</v>
      </c>
      <c r="BB7" s="13">
        <v>2106791</v>
      </c>
      <c r="BC7" s="13">
        <v>451455</v>
      </c>
      <c r="BD7" s="13">
        <v>448828</v>
      </c>
      <c r="BE7" s="13">
        <v>900283</v>
      </c>
      <c r="BF7" s="13">
        <v>462910</v>
      </c>
      <c r="BG7" s="13">
        <v>1363193</v>
      </c>
      <c r="BH7" s="13">
        <v>475660</v>
      </c>
      <c r="BI7" s="13">
        <f t="shared" ref="BI7:BI29" si="0">+BC7+BD7+BF7+BH7</f>
        <v>1838853</v>
      </c>
      <c r="BJ7" s="13">
        <v>629993</v>
      </c>
      <c r="BK7" s="13">
        <f>+BL7-BJ7</f>
        <v>578242</v>
      </c>
      <c r="BL7" s="13">
        <f>629993+578242</f>
        <v>1208235</v>
      </c>
      <c r="BM7" s="13">
        <f>+BN7-BL7</f>
        <v>485208</v>
      </c>
      <c r="BN7" s="13">
        <f>629993+578242+485208</f>
        <v>1693443</v>
      </c>
      <c r="BO7" s="13">
        <f>+BP7-BN7</f>
        <v>481564</v>
      </c>
      <c r="BP7" s="13">
        <v>2175007</v>
      </c>
      <c r="BQ7" s="13">
        <v>681667</v>
      </c>
      <c r="BR7" s="13">
        <f>+BS7-BQ7</f>
        <v>706907</v>
      </c>
      <c r="BS7" s="13">
        <v>1388574</v>
      </c>
      <c r="BT7" s="13">
        <f>+BU7-BS7</f>
        <v>750806</v>
      </c>
      <c r="BU7" s="13">
        <v>2139380</v>
      </c>
      <c r="BV7" s="13">
        <f>+BW7-BU7</f>
        <v>764673</v>
      </c>
      <c r="BW7" s="13">
        <v>2904053</v>
      </c>
      <c r="BX7" s="13">
        <v>567459</v>
      </c>
      <c r="BY7" s="13">
        <f>+BZ7-BX7</f>
        <v>598298</v>
      </c>
      <c r="BZ7" s="13">
        <v>1165757</v>
      </c>
      <c r="CA7" s="13">
        <f>+CB7-BZ7</f>
        <v>638982</v>
      </c>
      <c r="CB7" s="13">
        <v>1804739</v>
      </c>
      <c r="CC7" s="13">
        <f>+CD7-CB7</f>
        <v>680451</v>
      </c>
      <c r="CD7" s="13">
        <v>2485190</v>
      </c>
      <c r="CE7" s="13">
        <v>447766</v>
      </c>
      <c r="CF7" s="13">
        <f>+CG7-CE7</f>
        <v>472785</v>
      </c>
      <c r="CG7" s="13">
        <v>920551</v>
      </c>
      <c r="CH7" s="13">
        <f>+CI7-CG7</f>
        <v>503950</v>
      </c>
      <c r="CI7" s="13">
        <v>1424501</v>
      </c>
      <c r="CJ7" s="13">
        <f>+CK7-CI7</f>
        <v>542712</v>
      </c>
      <c r="CK7" s="13">
        <v>1967213</v>
      </c>
    </row>
    <row r="8" spans="1:91" s="21" customFormat="1" ht="11.25">
      <c r="A8" s="4" t="s">
        <v>6</v>
      </c>
      <c r="B8" s="5" t="s">
        <v>67</v>
      </c>
      <c r="C8" s="5"/>
      <c r="D8" s="5"/>
      <c r="F8" s="13">
        <v>-67023</v>
      </c>
      <c r="G8" s="13">
        <f t="shared" ref="G8:G47" si="1">+H8-F8</f>
        <v>-69459</v>
      </c>
      <c r="H8" s="13">
        <v>-136482</v>
      </c>
      <c r="I8" s="13">
        <f t="shared" ref="I8:I47" si="2">+J8-H8</f>
        <v>-78319</v>
      </c>
      <c r="J8" s="13">
        <v>-214801</v>
      </c>
      <c r="K8" s="13">
        <f t="shared" ref="K8:K47" si="3">+L8-J8</f>
        <v>-77116</v>
      </c>
      <c r="L8" s="13">
        <v>-291917</v>
      </c>
      <c r="M8" s="13">
        <v>-87870</v>
      </c>
      <c r="N8" s="13">
        <v>-79887</v>
      </c>
      <c r="O8" s="13">
        <v>-167757</v>
      </c>
      <c r="P8" s="13">
        <v>-73731</v>
      </c>
      <c r="Q8" s="13">
        <v>-241488</v>
      </c>
      <c r="R8" s="13">
        <v>-71116</v>
      </c>
      <c r="S8" s="13">
        <v>-312604</v>
      </c>
      <c r="T8" s="13">
        <v>-116940</v>
      </c>
      <c r="U8" s="13">
        <v>-107083</v>
      </c>
      <c r="V8" s="13">
        <v>-224023</v>
      </c>
      <c r="W8" s="13">
        <v>-100819</v>
      </c>
      <c r="X8" s="13">
        <v>-324842</v>
      </c>
      <c r="Y8" s="13">
        <v>-96016</v>
      </c>
      <c r="Z8" s="13">
        <v>-420858</v>
      </c>
      <c r="AA8" s="13">
        <v>-164728</v>
      </c>
      <c r="AB8" s="13">
        <f t="shared" ref="AB8:AB47" si="4">+AC8-AA8</f>
        <v>-161146</v>
      </c>
      <c r="AC8" s="13">
        <v>-325874</v>
      </c>
      <c r="AD8" s="13">
        <v>-150578</v>
      </c>
      <c r="AE8" s="13">
        <v>-476452</v>
      </c>
      <c r="AF8" s="13">
        <v>-140027</v>
      </c>
      <c r="AG8" s="13">
        <v>-616479</v>
      </c>
      <c r="AH8" s="13">
        <v>-211799</v>
      </c>
      <c r="AI8" s="13">
        <v>-196370</v>
      </c>
      <c r="AJ8" s="13">
        <v>-408169</v>
      </c>
      <c r="AK8" s="13">
        <v>-183420</v>
      </c>
      <c r="AL8" s="13">
        <v>-591589</v>
      </c>
      <c r="AM8" s="13">
        <v>-179007</v>
      </c>
      <c r="AN8" s="13">
        <v>-770596</v>
      </c>
      <c r="AO8" s="13">
        <v>-229990</v>
      </c>
      <c r="AP8" s="13">
        <v>-226019</v>
      </c>
      <c r="AQ8" s="13">
        <v>-456009</v>
      </c>
      <c r="AR8" s="13">
        <v>-218298</v>
      </c>
      <c r="AS8" s="13">
        <v>-674307</v>
      </c>
      <c r="AT8" s="13">
        <v>-212603</v>
      </c>
      <c r="AU8" s="13">
        <v>-886910</v>
      </c>
      <c r="AV8" s="13">
        <v>-156934</v>
      </c>
      <c r="AW8" s="13">
        <v>-184794</v>
      </c>
      <c r="AX8" s="13">
        <v>-341728</v>
      </c>
      <c r="AY8" s="13">
        <v>-207809</v>
      </c>
      <c r="AZ8" s="13">
        <v>-549537</v>
      </c>
      <c r="BA8" s="13">
        <v>-226811</v>
      </c>
      <c r="BB8" s="13">
        <v>-776348</v>
      </c>
      <c r="BC8" s="13">
        <v>-133624</v>
      </c>
      <c r="BD8" s="13">
        <v>-132603</v>
      </c>
      <c r="BE8" s="13">
        <v>-266227</v>
      </c>
      <c r="BF8" s="13">
        <v>-137076</v>
      </c>
      <c r="BG8" s="13">
        <v>-403303</v>
      </c>
      <c r="BH8" s="13">
        <v>-146009</v>
      </c>
      <c r="BI8" s="13">
        <f t="shared" si="0"/>
        <v>-549312</v>
      </c>
      <c r="BJ8" s="13">
        <v>-290909</v>
      </c>
      <c r="BK8" s="13">
        <f t="shared" ref="BK8:BK47" si="5">+BL8-BJ8</f>
        <v>-218058</v>
      </c>
      <c r="BL8" s="13">
        <f>-290909-218058</f>
        <v>-508967</v>
      </c>
      <c r="BM8" s="13">
        <f t="shared" ref="BM8:BM47" si="6">+BN8-BL8</f>
        <v>-170806</v>
      </c>
      <c r="BN8" s="13">
        <f>-290909-218058-170806</f>
        <v>-679773</v>
      </c>
      <c r="BO8" s="13">
        <f t="shared" ref="BO8:BO47" si="7">+BP8-BN8</f>
        <v>-155298</v>
      </c>
      <c r="BP8" s="13">
        <v>-835071</v>
      </c>
      <c r="BQ8" s="13">
        <v>-320848</v>
      </c>
      <c r="BR8" s="13">
        <f t="shared" ref="BR8:BR47" si="8">+BS8-BQ8</f>
        <v>-338012</v>
      </c>
      <c r="BS8" s="13">
        <v>-658860</v>
      </c>
      <c r="BT8" s="13">
        <f t="shared" ref="BT8:BT47" si="9">+BU8-BS8</f>
        <v>-368324</v>
      </c>
      <c r="BU8" s="13">
        <v>-1027184</v>
      </c>
      <c r="BV8" s="13">
        <f t="shared" ref="BV8:BV47" si="10">+BW8-BU8</f>
        <v>-368614</v>
      </c>
      <c r="BW8" s="13">
        <v>-1395798</v>
      </c>
      <c r="BX8" s="13">
        <v>-210921</v>
      </c>
      <c r="BY8" s="13">
        <f t="shared" ref="BY8:BY47" si="11">+BZ8-BX8</f>
        <v>-238019</v>
      </c>
      <c r="BZ8" s="13">
        <v>-448940</v>
      </c>
      <c r="CA8" s="13">
        <f t="shared" ref="CA8:CA47" si="12">+CB8-BZ8</f>
        <v>-259555</v>
      </c>
      <c r="CB8" s="13">
        <v>-708495</v>
      </c>
      <c r="CC8" s="13">
        <f t="shared" ref="CC8:CC47" si="13">+CD8-CB8</f>
        <v>-271763</v>
      </c>
      <c r="CD8" s="13">
        <v>-980258</v>
      </c>
      <c r="CE8" s="13">
        <v>-149589</v>
      </c>
      <c r="CF8" s="13">
        <f t="shared" ref="CF8:CF47" si="14">+CG8-CE8</f>
        <v>-160539</v>
      </c>
      <c r="CG8" s="13">
        <v>-310128</v>
      </c>
      <c r="CH8" s="13">
        <f t="shared" ref="CH8:CH47" si="15">+CI8-CG8</f>
        <v>-176534</v>
      </c>
      <c r="CI8" s="13">
        <v>-486662</v>
      </c>
      <c r="CJ8" s="13">
        <f t="shared" ref="CJ8:CJ47" si="16">+CK8-CI8</f>
        <v>-194949</v>
      </c>
      <c r="CK8" s="13">
        <v>-681611</v>
      </c>
    </row>
    <row r="9" spans="1:91" s="21" customFormat="1" ht="11.25">
      <c r="A9" s="4" t="s">
        <v>8</v>
      </c>
      <c r="B9" s="8" t="s">
        <v>68</v>
      </c>
      <c r="C9" s="8"/>
      <c r="D9" s="8"/>
      <c r="E9" s="40"/>
      <c r="F9" s="14">
        <v>288114</v>
      </c>
      <c r="G9" s="14">
        <f t="shared" si="1"/>
        <v>282005</v>
      </c>
      <c r="H9" s="14">
        <v>570119</v>
      </c>
      <c r="I9" s="14">
        <f t="shared" si="2"/>
        <v>280218</v>
      </c>
      <c r="J9" s="14">
        <v>850337</v>
      </c>
      <c r="K9" s="14">
        <f t="shared" si="3"/>
        <v>274142</v>
      </c>
      <c r="L9" s="14">
        <v>1124479</v>
      </c>
      <c r="M9" s="14">
        <v>296800</v>
      </c>
      <c r="N9" s="14">
        <v>293576</v>
      </c>
      <c r="O9" s="14">
        <v>590376</v>
      </c>
      <c r="P9" s="14">
        <v>285728</v>
      </c>
      <c r="Q9" s="14">
        <v>876104</v>
      </c>
      <c r="R9" s="14">
        <v>294343</v>
      </c>
      <c r="S9" s="14">
        <v>1170447</v>
      </c>
      <c r="T9" s="14">
        <v>314095</v>
      </c>
      <c r="U9" s="14">
        <v>308370</v>
      </c>
      <c r="V9" s="14">
        <v>622465</v>
      </c>
      <c r="W9" s="14">
        <v>302036</v>
      </c>
      <c r="X9" s="14">
        <v>924501</v>
      </c>
      <c r="Y9" s="14">
        <v>303040</v>
      </c>
      <c r="Z9" s="14">
        <v>1227541</v>
      </c>
      <c r="AA9" s="14">
        <v>329820</v>
      </c>
      <c r="AB9" s="14">
        <f t="shared" si="4"/>
        <v>328639</v>
      </c>
      <c r="AC9" s="14">
        <v>658459</v>
      </c>
      <c r="AD9" s="14">
        <v>320040</v>
      </c>
      <c r="AE9" s="14">
        <v>978499</v>
      </c>
      <c r="AF9" s="14">
        <v>313310</v>
      </c>
      <c r="AG9" s="14">
        <v>1291809</v>
      </c>
      <c r="AH9" s="14">
        <v>311115</v>
      </c>
      <c r="AI9" s="14">
        <v>326081</v>
      </c>
      <c r="AJ9" s="14">
        <v>637196</v>
      </c>
      <c r="AK9" s="14">
        <v>326987</v>
      </c>
      <c r="AL9" s="14">
        <v>964183</v>
      </c>
      <c r="AM9" s="14">
        <v>325806</v>
      </c>
      <c r="AN9" s="14">
        <v>1289989</v>
      </c>
      <c r="AO9" s="14">
        <v>336508</v>
      </c>
      <c r="AP9" s="14">
        <v>320649</v>
      </c>
      <c r="AQ9" s="14">
        <v>657157</v>
      </c>
      <c r="AR9" s="14">
        <v>323644</v>
      </c>
      <c r="AS9" s="14">
        <v>980801</v>
      </c>
      <c r="AT9" s="14">
        <v>328738</v>
      </c>
      <c r="AU9" s="14">
        <v>1309539</v>
      </c>
      <c r="AV9" s="14">
        <v>322503</v>
      </c>
      <c r="AW9" s="14">
        <v>328107</v>
      </c>
      <c r="AX9" s="14">
        <v>650610</v>
      </c>
      <c r="AY9" s="14">
        <v>338052</v>
      </c>
      <c r="AZ9" s="14">
        <v>988662</v>
      </c>
      <c r="BA9" s="14">
        <v>341781</v>
      </c>
      <c r="BB9" s="14">
        <v>1330443</v>
      </c>
      <c r="BC9" s="14">
        <f>SUM(BC7:BC8)</f>
        <v>317831</v>
      </c>
      <c r="BD9" s="14">
        <f>SUM(BD7:BD8)</f>
        <v>316225</v>
      </c>
      <c r="BE9" s="14">
        <v>634056</v>
      </c>
      <c r="BF9" s="14">
        <f>SUM(BF7:BF8)</f>
        <v>325834</v>
      </c>
      <c r="BG9" s="14">
        <v>959890</v>
      </c>
      <c r="BH9" s="14">
        <f>SUM(BH7:BH8)</f>
        <v>329651</v>
      </c>
      <c r="BI9" s="14">
        <f t="shared" si="0"/>
        <v>1289541</v>
      </c>
      <c r="BJ9" s="14">
        <f>+BJ7+BJ8</f>
        <v>339084</v>
      </c>
      <c r="BK9" s="14">
        <f t="shared" si="5"/>
        <v>360184</v>
      </c>
      <c r="BL9" s="14">
        <f>+BL7+BL8</f>
        <v>699268</v>
      </c>
      <c r="BM9" s="14">
        <f t="shared" si="6"/>
        <v>314402</v>
      </c>
      <c r="BN9" s="14">
        <f>+BN7+BN8</f>
        <v>1013670</v>
      </c>
      <c r="BO9" s="14">
        <f t="shared" si="7"/>
        <v>326266</v>
      </c>
      <c r="BP9" s="14">
        <f>+BP7+BP8</f>
        <v>1339936</v>
      </c>
      <c r="BQ9" s="14">
        <f>SUM(BQ7:BQ8)</f>
        <v>360819</v>
      </c>
      <c r="BR9" s="14">
        <f t="shared" si="8"/>
        <v>368895</v>
      </c>
      <c r="BS9" s="14">
        <f>SUM(BS7:BS8)</f>
        <v>729714</v>
      </c>
      <c r="BT9" s="14">
        <f t="shared" si="9"/>
        <v>382482</v>
      </c>
      <c r="BU9" s="14">
        <f>SUM(BU7:BU8)</f>
        <v>1112196</v>
      </c>
      <c r="BV9" s="14">
        <f t="shared" si="10"/>
        <v>396059</v>
      </c>
      <c r="BW9" s="14">
        <v>1508255</v>
      </c>
      <c r="BX9" s="14">
        <v>356538</v>
      </c>
      <c r="BY9" s="14">
        <f t="shared" si="11"/>
        <v>360279</v>
      </c>
      <c r="BZ9" s="14">
        <v>716817</v>
      </c>
      <c r="CA9" s="14">
        <f t="shared" si="12"/>
        <v>379427</v>
      </c>
      <c r="CB9" s="14">
        <v>1096244</v>
      </c>
      <c r="CC9" s="14">
        <f t="shared" si="13"/>
        <v>408688</v>
      </c>
      <c r="CD9" s="14">
        <v>1504932</v>
      </c>
      <c r="CE9" s="14">
        <v>298177</v>
      </c>
      <c r="CF9" s="14">
        <f t="shared" si="14"/>
        <v>312246</v>
      </c>
      <c r="CG9" s="14">
        <v>610423</v>
      </c>
      <c r="CH9" s="14">
        <f t="shared" si="15"/>
        <v>327416</v>
      </c>
      <c r="CI9" s="14">
        <v>937839</v>
      </c>
      <c r="CJ9" s="14">
        <f t="shared" si="16"/>
        <v>347763</v>
      </c>
      <c r="CK9" s="14">
        <v>1285602</v>
      </c>
    </row>
    <row r="10" spans="1:91" s="21" customFormat="1" ht="11.25">
      <c r="A10" s="4" t="s">
        <v>9</v>
      </c>
      <c r="B10" s="5" t="s">
        <v>69</v>
      </c>
      <c r="C10" s="5"/>
      <c r="D10" s="5"/>
      <c r="F10" s="13">
        <v>185947</v>
      </c>
      <c r="G10" s="13">
        <f t="shared" si="1"/>
        <v>190680</v>
      </c>
      <c r="H10" s="13">
        <v>376627</v>
      </c>
      <c r="I10" s="13">
        <f t="shared" si="2"/>
        <v>194303</v>
      </c>
      <c r="J10" s="13">
        <v>570930</v>
      </c>
      <c r="K10" s="13">
        <f t="shared" si="3"/>
        <v>205676</v>
      </c>
      <c r="L10" s="13">
        <v>776606</v>
      </c>
      <c r="M10" s="13">
        <v>185186</v>
      </c>
      <c r="N10" s="13">
        <v>189189</v>
      </c>
      <c r="O10" s="13">
        <v>374375</v>
      </c>
      <c r="P10" s="13">
        <v>183068</v>
      </c>
      <c r="Q10" s="13">
        <v>557443</v>
      </c>
      <c r="R10" s="13">
        <v>188516</v>
      </c>
      <c r="S10" s="13">
        <v>745959</v>
      </c>
      <c r="T10" s="13">
        <v>188020</v>
      </c>
      <c r="U10" s="13">
        <v>189373</v>
      </c>
      <c r="V10" s="13">
        <v>377393</v>
      </c>
      <c r="W10" s="13">
        <v>187648</v>
      </c>
      <c r="X10" s="13">
        <v>565041</v>
      </c>
      <c r="Y10" s="13">
        <v>197433</v>
      </c>
      <c r="Z10" s="13">
        <v>762474</v>
      </c>
      <c r="AA10" s="13">
        <v>184023</v>
      </c>
      <c r="AB10" s="13">
        <f t="shared" si="4"/>
        <v>186210</v>
      </c>
      <c r="AC10" s="13">
        <v>370233</v>
      </c>
      <c r="AD10" s="13">
        <v>182429</v>
      </c>
      <c r="AE10" s="13">
        <v>552662</v>
      </c>
      <c r="AF10" s="13">
        <v>186457</v>
      </c>
      <c r="AG10" s="13">
        <v>739119</v>
      </c>
      <c r="AH10" s="13">
        <v>184746</v>
      </c>
      <c r="AI10" s="13">
        <v>188519</v>
      </c>
      <c r="AJ10" s="13">
        <v>373265</v>
      </c>
      <c r="AK10" s="13">
        <v>186320</v>
      </c>
      <c r="AL10" s="13">
        <v>559585</v>
      </c>
      <c r="AM10" s="13">
        <v>191601</v>
      </c>
      <c r="AN10" s="13">
        <v>751186</v>
      </c>
      <c r="AO10" s="13">
        <v>183096</v>
      </c>
      <c r="AP10" s="13">
        <v>195677</v>
      </c>
      <c r="AQ10" s="13">
        <v>378773</v>
      </c>
      <c r="AR10" s="13">
        <v>192233</v>
      </c>
      <c r="AS10" s="13">
        <v>571006</v>
      </c>
      <c r="AT10" s="13">
        <v>191800</v>
      </c>
      <c r="AU10" s="13">
        <v>762806</v>
      </c>
      <c r="AV10" s="13">
        <v>181967</v>
      </c>
      <c r="AW10" s="13">
        <v>177712</v>
      </c>
      <c r="AX10" s="13">
        <v>359679</v>
      </c>
      <c r="AY10" s="13">
        <v>186869</v>
      </c>
      <c r="AZ10" s="13">
        <v>546548</v>
      </c>
      <c r="BA10" s="13">
        <v>188582</v>
      </c>
      <c r="BB10" s="13">
        <v>735130</v>
      </c>
      <c r="BC10" s="13">
        <v>188490</v>
      </c>
      <c r="BD10" s="13">
        <v>189481</v>
      </c>
      <c r="BE10" s="13">
        <v>377971</v>
      </c>
      <c r="BF10" s="13">
        <v>178391</v>
      </c>
      <c r="BG10" s="13">
        <v>556362</v>
      </c>
      <c r="BH10" s="13">
        <v>189156</v>
      </c>
      <c r="BI10" s="13">
        <f t="shared" si="0"/>
        <v>745518</v>
      </c>
      <c r="BJ10" s="13">
        <v>144200</v>
      </c>
      <c r="BK10" s="13">
        <f t="shared" si="5"/>
        <v>154014</v>
      </c>
      <c r="BL10" s="13">
        <f>144200+154014</f>
        <v>298214</v>
      </c>
      <c r="BM10" s="13">
        <f t="shared" si="6"/>
        <v>190280</v>
      </c>
      <c r="BN10" s="13">
        <f>144200+154014+190280</f>
        <v>488494</v>
      </c>
      <c r="BO10" s="13">
        <f t="shared" si="7"/>
        <v>207879</v>
      </c>
      <c r="BP10" s="13">
        <v>696373</v>
      </c>
      <c r="BQ10" s="13">
        <v>120099</v>
      </c>
      <c r="BR10" s="13">
        <f t="shared" si="8"/>
        <v>122405</v>
      </c>
      <c r="BS10" s="13">
        <v>242504</v>
      </c>
      <c r="BT10" s="13">
        <f t="shared" si="9"/>
        <v>128018</v>
      </c>
      <c r="BU10" s="13">
        <v>370522</v>
      </c>
      <c r="BV10" s="13">
        <f t="shared" si="10"/>
        <v>195369</v>
      </c>
      <c r="BW10" s="13">
        <v>565891</v>
      </c>
      <c r="BX10" s="13">
        <v>120204</v>
      </c>
      <c r="BY10" s="13">
        <f t="shared" si="11"/>
        <v>124466</v>
      </c>
      <c r="BZ10" s="13">
        <v>244670</v>
      </c>
      <c r="CA10" s="13">
        <f t="shared" si="12"/>
        <v>126523</v>
      </c>
      <c r="CB10" s="13">
        <v>371193</v>
      </c>
      <c r="CC10" s="13">
        <f t="shared" si="13"/>
        <v>134629</v>
      </c>
      <c r="CD10" s="13">
        <v>505822</v>
      </c>
      <c r="CE10" s="13">
        <v>129394</v>
      </c>
      <c r="CF10" s="13">
        <f t="shared" si="14"/>
        <v>130820</v>
      </c>
      <c r="CG10" s="13">
        <v>260214</v>
      </c>
      <c r="CH10" s="13">
        <f t="shared" si="15"/>
        <v>100349</v>
      </c>
      <c r="CI10" s="13">
        <v>360563</v>
      </c>
      <c r="CJ10" s="13">
        <f t="shared" si="16"/>
        <v>141168</v>
      </c>
      <c r="CK10" s="13">
        <v>501731</v>
      </c>
    </row>
    <row r="11" spans="1:91" s="21" customFormat="1" ht="11.25">
      <c r="A11" s="4" t="s">
        <v>11</v>
      </c>
      <c r="B11" s="5" t="s">
        <v>70</v>
      </c>
      <c r="C11" s="5"/>
      <c r="D11" s="5"/>
      <c r="F11" s="13">
        <v>-8574</v>
      </c>
      <c r="G11" s="13">
        <f t="shared" si="1"/>
        <v>-8829</v>
      </c>
      <c r="H11" s="13">
        <v>-17403</v>
      </c>
      <c r="I11" s="13">
        <f t="shared" si="2"/>
        <v>-9501</v>
      </c>
      <c r="J11" s="13">
        <v>-26904</v>
      </c>
      <c r="K11" s="13">
        <f t="shared" si="3"/>
        <v>-9074</v>
      </c>
      <c r="L11" s="13">
        <v>-35978</v>
      </c>
      <c r="M11" s="13">
        <v>-8103</v>
      </c>
      <c r="N11" s="13">
        <v>-8154</v>
      </c>
      <c r="O11" s="13">
        <v>-16257</v>
      </c>
      <c r="P11" s="13">
        <v>-8265</v>
      </c>
      <c r="Q11" s="13">
        <v>-24522</v>
      </c>
      <c r="R11" s="13">
        <v>-8715</v>
      </c>
      <c r="S11" s="13">
        <v>-33237</v>
      </c>
      <c r="T11" s="13">
        <v>-8817</v>
      </c>
      <c r="U11" s="13">
        <v>-8723</v>
      </c>
      <c r="V11" s="13">
        <v>-17540</v>
      </c>
      <c r="W11" s="13">
        <v>-9804</v>
      </c>
      <c r="X11" s="13">
        <v>-27344</v>
      </c>
      <c r="Y11" s="13">
        <v>-8437</v>
      </c>
      <c r="Z11" s="13">
        <v>-35781</v>
      </c>
      <c r="AA11" s="13">
        <v>-12573</v>
      </c>
      <c r="AB11" s="13">
        <f t="shared" si="4"/>
        <v>-12182</v>
      </c>
      <c r="AC11" s="13">
        <v>-24755</v>
      </c>
      <c r="AD11" s="13">
        <v>-13417</v>
      </c>
      <c r="AE11" s="13">
        <v>-38172</v>
      </c>
      <c r="AF11" s="13">
        <v>-10283</v>
      </c>
      <c r="AG11" s="13">
        <v>-48455</v>
      </c>
      <c r="AH11" s="13">
        <v>-13457</v>
      </c>
      <c r="AI11" s="13">
        <v>-12997</v>
      </c>
      <c r="AJ11" s="13">
        <v>-26454</v>
      </c>
      <c r="AK11" s="13">
        <v>-13645</v>
      </c>
      <c r="AL11" s="13">
        <v>-40099</v>
      </c>
      <c r="AM11" s="13">
        <v>-12829</v>
      </c>
      <c r="AN11" s="13">
        <v>-52928</v>
      </c>
      <c r="AO11" s="13">
        <v>-11292</v>
      </c>
      <c r="AP11" s="13">
        <v>-13955</v>
      </c>
      <c r="AQ11" s="13">
        <v>-25247</v>
      </c>
      <c r="AR11" s="13">
        <v>-15329</v>
      </c>
      <c r="AS11" s="13">
        <v>-40576</v>
      </c>
      <c r="AT11" s="13">
        <v>-14289</v>
      </c>
      <c r="AU11" s="13">
        <v>-54865</v>
      </c>
      <c r="AV11" s="13">
        <v>-9757</v>
      </c>
      <c r="AW11" s="13">
        <v>-8936</v>
      </c>
      <c r="AX11" s="13">
        <v>-18693</v>
      </c>
      <c r="AY11" s="13">
        <v>-11736</v>
      </c>
      <c r="AZ11" s="13">
        <v>-30429</v>
      </c>
      <c r="BA11" s="13">
        <v>-11007</v>
      </c>
      <c r="BB11" s="13">
        <v>-41436</v>
      </c>
      <c r="BC11" s="13">
        <v>-12292</v>
      </c>
      <c r="BD11" s="13">
        <v>-14851</v>
      </c>
      <c r="BE11" s="13">
        <v>-27143</v>
      </c>
      <c r="BF11" s="13">
        <v>-13534</v>
      </c>
      <c r="BG11" s="13">
        <v>-40677</v>
      </c>
      <c r="BH11" s="13">
        <v>-14717</v>
      </c>
      <c r="BI11" s="13">
        <f t="shared" si="0"/>
        <v>-55394</v>
      </c>
      <c r="BJ11" s="13">
        <v>-13060</v>
      </c>
      <c r="BK11" s="13">
        <f t="shared" si="5"/>
        <v>-14847</v>
      </c>
      <c r="BL11" s="13">
        <f>-13060-14847</f>
        <v>-27907</v>
      </c>
      <c r="BM11" s="13">
        <f t="shared" si="6"/>
        <v>-15124</v>
      </c>
      <c r="BN11" s="13">
        <f>-13060-14847-15124</f>
        <v>-43031</v>
      </c>
      <c r="BO11" s="13">
        <f t="shared" si="7"/>
        <v>-15375</v>
      </c>
      <c r="BP11" s="13">
        <v>-58406</v>
      </c>
      <c r="BQ11" s="13">
        <v>-10894</v>
      </c>
      <c r="BR11" s="13">
        <f t="shared" si="8"/>
        <v>-12746</v>
      </c>
      <c r="BS11" s="13">
        <v>-23640</v>
      </c>
      <c r="BT11" s="13">
        <f t="shared" si="9"/>
        <v>-13316</v>
      </c>
      <c r="BU11" s="13">
        <v>-36956</v>
      </c>
      <c r="BV11" s="13">
        <f t="shared" si="10"/>
        <v>-13044</v>
      </c>
      <c r="BW11" s="13">
        <v>-50000</v>
      </c>
      <c r="BX11" s="13">
        <v>-12594</v>
      </c>
      <c r="BY11" s="13">
        <f t="shared" si="11"/>
        <v>-12318</v>
      </c>
      <c r="BZ11" s="13">
        <v>-24912</v>
      </c>
      <c r="CA11" s="13">
        <f t="shared" si="12"/>
        <v>-16119</v>
      </c>
      <c r="CB11" s="13">
        <v>-41031</v>
      </c>
      <c r="CC11" s="13">
        <f t="shared" si="13"/>
        <v>-12946</v>
      </c>
      <c r="CD11" s="13">
        <v>-53977</v>
      </c>
      <c r="CE11" s="13">
        <v>-12330</v>
      </c>
      <c r="CF11" s="13">
        <f t="shared" si="14"/>
        <v>-15586</v>
      </c>
      <c r="CG11" s="13">
        <v>-27916</v>
      </c>
      <c r="CH11" s="13">
        <f t="shared" si="15"/>
        <v>-13692</v>
      </c>
      <c r="CI11" s="13">
        <v>-41608</v>
      </c>
      <c r="CJ11" s="13">
        <f t="shared" si="16"/>
        <v>-16719</v>
      </c>
      <c r="CK11" s="13">
        <v>-58327</v>
      </c>
    </row>
    <row r="12" spans="1:91" s="21" customFormat="1" ht="11.25">
      <c r="A12" s="4" t="s">
        <v>13</v>
      </c>
      <c r="B12" s="8" t="s">
        <v>71</v>
      </c>
      <c r="C12" s="8"/>
      <c r="D12" s="8"/>
      <c r="E12" s="40"/>
      <c r="F12" s="14">
        <v>177373</v>
      </c>
      <c r="G12" s="14">
        <f t="shared" si="1"/>
        <v>181851</v>
      </c>
      <c r="H12" s="14">
        <v>359224</v>
      </c>
      <c r="I12" s="14">
        <f t="shared" si="2"/>
        <v>184802</v>
      </c>
      <c r="J12" s="14">
        <v>544026</v>
      </c>
      <c r="K12" s="14">
        <f t="shared" si="3"/>
        <v>196602</v>
      </c>
      <c r="L12" s="14">
        <v>740628</v>
      </c>
      <c r="M12" s="14">
        <v>177083</v>
      </c>
      <c r="N12" s="14">
        <v>181035</v>
      </c>
      <c r="O12" s="14">
        <v>358118</v>
      </c>
      <c r="P12" s="14">
        <v>174803</v>
      </c>
      <c r="Q12" s="14">
        <v>532921</v>
      </c>
      <c r="R12" s="14">
        <v>179801</v>
      </c>
      <c r="S12" s="14">
        <v>712722</v>
      </c>
      <c r="T12" s="14">
        <v>179203</v>
      </c>
      <c r="U12" s="14">
        <v>180650</v>
      </c>
      <c r="V12" s="14">
        <v>359853</v>
      </c>
      <c r="W12" s="14">
        <v>177844</v>
      </c>
      <c r="X12" s="14">
        <v>537697</v>
      </c>
      <c r="Y12" s="14">
        <v>188996</v>
      </c>
      <c r="Z12" s="14">
        <v>726693</v>
      </c>
      <c r="AA12" s="14">
        <v>171450</v>
      </c>
      <c r="AB12" s="14">
        <f t="shared" si="4"/>
        <v>174028</v>
      </c>
      <c r="AC12" s="14">
        <v>345478</v>
      </c>
      <c r="AD12" s="14">
        <v>169012</v>
      </c>
      <c r="AE12" s="14">
        <v>514490</v>
      </c>
      <c r="AF12" s="14">
        <v>176174</v>
      </c>
      <c r="AG12" s="14">
        <v>690664</v>
      </c>
      <c r="AH12" s="14">
        <v>171289</v>
      </c>
      <c r="AI12" s="14">
        <v>175522</v>
      </c>
      <c r="AJ12" s="14">
        <v>346811</v>
      </c>
      <c r="AK12" s="14">
        <v>172675</v>
      </c>
      <c r="AL12" s="14">
        <v>519486</v>
      </c>
      <c r="AM12" s="14">
        <v>178772</v>
      </c>
      <c r="AN12" s="14">
        <v>698258</v>
      </c>
      <c r="AO12" s="14">
        <v>171804</v>
      </c>
      <c r="AP12" s="14">
        <v>181722</v>
      </c>
      <c r="AQ12" s="14">
        <v>353526</v>
      </c>
      <c r="AR12" s="14">
        <v>176904</v>
      </c>
      <c r="AS12" s="14">
        <v>530430</v>
      </c>
      <c r="AT12" s="14">
        <v>177511</v>
      </c>
      <c r="AU12" s="14">
        <v>707941</v>
      </c>
      <c r="AV12" s="14">
        <v>172210</v>
      </c>
      <c r="AW12" s="14">
        <v>168776</v>
      </c>
      <c r="AX12" s="14">
        <v>340986</v>
      </c>
      <c r="AY12" s="14">
        <v>175133</v>
      </c>
      <c r="AZ12" s="14">
        <v>516119</v>
      </c>
      <c r="BA12" s="14">
        <v>177575</v>
      </c>
      <c r="BB12" s="14">
        <v>693694</v>
      </c>
      <c r="BC12" s="14">
        <f>SUM(BC10:BC11)</f>
        <v>176198</v>
      </c>
      <c r="BD12" s="14">
        <f>SUM(BD10:BD11)</f>
        <v>174630</v>
      </c>
      <c r="BE12" s="14">
        <v>350828</v>
      </c>
      <c r="BF12" s="14">
        <f>SUM(BF10:BF11)</f>
        <v>164857</v>
      </c>
      <c r="BG12" s="14">
        <v>515685</v>
      </c>
      <c r="BH12" s="14">
        <f>SUM(BH10:BH11)</f>
        <v>174439</v>
      </c>
      <c r="BI12" s="14">
        <f t="shared" si="0"/>
        <v>690124</v>
      </c>
      <c r="BJ12" s="14">
        <f>+BJ10+BJ11</f>
        <v>131140</v>
      </c>
      <c r="BK12" s="14">
        <f t="shared" si="5"/>
        <v>139167</v>
      </c>
      <c r="BL12" s="14">
        <f>+BL10+BL11</f>
        <v>270307</v>
      </c>
      <c r="BM12" s="14">
        <f t="shared" si="6"/>
        <v>175156</v>
      </c>
      <c r="BN12" s="14">
        <f>+BN10+BN11</f>
        <v>445463</v>
      </c>
      <c r="BO12" s="14">
        <f t="shared" si="7"/>
        <v>192504</v>
      </c>
      <c r="BP12" s="14">
        <f>+BP10+BP11</f>
        <v>637967</v>
      </c>
      <c r="BQ12" s="14">
        <f>SUM(BQ10:BQ11)</f>
        <v>109205</v>
      </c>
      <c r="BR12" s="14">
        <f t="shared" si="8"/>
        <v>109659</v>
      </c>
      <c r="BS12" s="14">
        <f>SUM(BS10:BS11)</f>
        <v>218864</v>
      </c>
      <c r="BT12" s="14">
        <f t="shared" si="9"/>
        <v>114702</v>
      </c>
      <c r="BU12" s="14">
        <f>SUM(BU10:BU11)</f>
        <v>333566</v>
      </c>
      <c r="BV12" s="14">
        <f t="shared" si="10"/>
        <v>182325</v>
      </c>
      <c r="BW12" s="14">
        <v>515891</v>
      </c>
      <c r="BX12" s="14">
        <v>107610</v>
      </c>
      <c r="BY12" s="14">
        <f t="shared" si="11"/>
        <v>112148</v>
      </c>
      <c r="BZ12" s="14">
        <v>219758</v>
      </c>
      <c r="CA12" s="14">
        <f t="shared" si="12"/>
        <v>110404</v>
      </c>
      <c r="CB12" s="14">
        <v>330162</v>
      </c>
      <c r="CC12" s="14">
        <f t="shared" si="13"/>
        <v>121683</v>
      </c>
      <c r="CD12" s="14">
        <v>451845</v>
      </c>
      <c r="CE12" s="14">
        <v>117064</v>
      </c>
      <c r="CF12" s="14">
        <f t="shared" si="14"/>
        <v>115234</v>
      </c>
      <c r="CG12" s="14">
        <v>232298</v>
      </c>
      <c r="CH12" s="14">
        <f t="shared" si="15"/>
        <v>86657</v>
      </c>
      <c r="CI12" s="14">
        <v>318955</v>
      </c>
      <c r="CJ12" s="14">
        <f t="shared" si="16"/>
        <v>124449</v>
      </c>
      <c r="CK12" s="14">
        <v>443404</v>
      </c>
    </row>
    <row r="13" spans="1:91" s="31" customFormat="1" ht="11.25">
      <c r="A13" s="4" t="s">
        <v>15</v>
      </c>
      <c r="B13" s="5" t="s">
        <v>72</v>
      </c>
      <c r="C13" s="5"/>
      <c r="D13" s="5"/>
      <c r="E13" s="21"/>
      <c r="F13" s="13">
        <v>312</v>
      </c>
      <c r="G13" s="13">
        <f t="shared" si="1"/>
        <v>10812</v>
      </c>
      <c r="H13" s="13">
        <v>11124</v>
      </c>
      <c r="I13" s="13">
        <f t="shared" si="2"/>
        <v>507</v>
      </c>
      <c r="J13" s="13">
        <v>11631</v>
      </c>
      <c r="K13" s="13">
        <f t="shared" si="3"/>
        <v>785</v>
      </c>
      <c r="L13" s="13">
        <v>12416</v>
      </c>
      <c r="M13" s="13">
        <v>86</v>
      </c>
      <c r="N13" s="13">
        <v>8732</v>
      </c>
      <c r="O13" s="13">
        <v>8818</v>
      </c>
      <c r="P13" s="13">
        <v>338</v>
      </c>
      <c r="Q13" s="13">
        <v>9156</v>
      </c>
      <c r="R13" s="13">
        <v>716</v>
      </c>
      <c r="S13" s="13">
        <v>9872</v>
      </c>
      <c r="T13" s="13">
        <v>249</v>
      </c>
      <c r="U13" s="13">
        <v>13583</v>
      </c>
      <c r="V13" s="13">
        <v>13832</v>
      </c>
      <c r="W13" s="13">
        <v>457</v>
      </c>
      <c r="X13" s="13">
        <v>14289</v>
      </c>
      <c r="Y13" s="13">
        <v>1664</v>
      </c>
      <c r="Z13" s="13">
        <v>15953</v>
      </c>
      <c r="AA13" s="13">
        <v>574</v>
      </c>
      <c r="AB13" s="13">
        <f t="shared" si="4"/>
        <v>17617</v>
      </c>
      <c r="AC13" s="13">
        <v>18191</v>
      </c>
      <c r="AD13" s="13">
        <v>115</v>
      </c>
      <c r="AE13" s="13">
        <v>18306</v>
      </c>
      <c r="AF13" s="13">
        <v>1086</v>
      </c>
      <c r="AG13" s="13">
        <v>19392</v>
      </c>
      <c r="AH13" s="13">
        <v>575</v>
      </c>
      <c r="AI13" s="13">
        <v>22415</v>
      </c>
      <c r="AJ13" s="13">
        <v>22990</v>
      </c>
      <c r="AK13" s="13">
        <v>540</v>
      </c>
      <c r="AL13" s="13">
        <v>23530</v>
      </c>
      <c r="AM13" s="13">
        <v>556</v>
      </c>
      <c r="AN13" s="13">
        <v>24086</v>
      </c>
      <c r="AO13" s="13">
        <v>920</v>
      </c>
      <c r="AP13" s="13">
        <v>3288</v>
      </c>
      <c r="AQ13" s="13">
        <v>4208</v>
      </c>
      <c r="AR13" s="13">
        <v>339</v>
      </c>
      <c r="AS13" s="13">
        <v>4547</v>
      </c>
      <c r="AT13" s="13">
        <v>456</v>
      </c>
      <c r="AU13" s="13">
        <v>5003</v>
      </c>
      <c r="AV13" s="13">
        <v>825</v>
      </c>
      <c r="AW13" s="13">
        <v>3979</v>
      </c>
      <c r="AX13" s="13">
        <v>4804</v>
      </c>
      <c r="AY13" s="13">
        <v>577</v>
      </c>
      <c r="AZ13" s="13">
        <v>5381</v>
      </c>
      <c r="BA13" s="13">
        <v>1917</v>
      </c>
      <c r="BB13" s="13">
        <v>7298</v>
      </c>
      <c r="BC13" s="13">
        <v>1736</v>
      </c>
      <c r="BD13" s="13">
        <v>2799</v>
      </c>
      <c r="BE13" s="13">
        <v>4535</v>
      </c>
      <c r="BF13" s="13">
        <v>254</v>
      </c>
      <c r="BG13" s="13">
        <v>4789</v>
      </c>
      <c r="BH13" s="13">
        <v>220</v>
      </c>
      <c r="BI13" s="13">
        <f t="shared" si="0"/>
        <v>5009</v>
      </c>
      <c r="BJ13" s="13">
        <v>1088</v>
      </c>
      <c r="BK13" s="13">
        <f t="shared" si="5"/>
        <v>4852</v>
      </c>
      <c r="BL13" s="13">
        <f>1088+4852</f>
        <v>5940</v>
      </c>
      <c r="BM13" s="13">
        <f t="shared" si="6"/>
        <v>448</v>
      </c>
      <c r="BN13" s="13">
        <f>1088+4852+448</f>
        <v>6388</v>
      </c>
      <c r="BO13" s="13">
        <f t="shared" si="7"/>
        <v>-249</v>
      </c>
      <c r="BP13" s="13">
        <v>6139</v>
      </c>
      <c r="BQ13" s="13">
        <v>1075</v>
      </c>
      <c r="BR13" s="13">
        <f t="shared" si="8"/>
        <v>13377</v>
      </c>
      <c r="BS13" s="13">
        <v>14452</v>
      </c>
      <c r="BT13" s="13">
        <f t="shared" si="9"/>
        <v>805</v>
      </c>
      <c r="BU13" s="13">
        <v>15257</v>
      </c>
      <c r="BV13" s="13">
        <f t="shared" si="10"/>
        <v>736</v>
      </c>
      <c r="BW13" s="13">
        <v>15993</v>
      </c>
      <c r="BX13" s="13">
        <v>954</v>
      </c>
      <c r="BY13" s="13">
        <f t="shared" si="11"/>
        <v>16053</v>
      </c>
      <c r="BZ13" s="13">
        <v>17007</v>
      </c>
      <c r="CA13" s="13">
        <f t="shared" si="12"/>
        <v>623</v>
      </c>
      <c r="CB13" s="13">
        <v>17630</v>
      </c>
      <c r="CC13" s="13">
        <f t="shared" si="13"/>
        <v>4542</v>
      </c>
      <c r="CD13" s="13">
        <v>22172</v>
      </c>
      <c r="CE13" s="13">
        <v>1456</v>
      </c>
      <c r="CF13" s="13">
        <f t="shared" si="14"/>
        <v>16063</v>
      </c>
      <c r="CG13" s="13">
        <v>17519</v>
      </c>
      <c r="CH13" s="13">
        <f t="shared" si="15"/>
        <v>1439</v>
      </c>
      <c r="CI13" s="13">
        <v>18958</v>
      </c>
      <c r="CJ13" s="13">
        <f t="shared" si="16"/>
        <v>169</v>
      </c>
      <c r="CK13" s="13">
        <v>19127</v>
      </c>
    </row>
    <row r="14" spans="1:91" s="21" customFormat="1" ht="11.25">
      <c r="A14" s="4" t="s">
        <v>17</v>
      </c>
      <c r="B14" s="5" t="s">
        <v>73</v>
      </c>
      <c r="C14" s="5"/>
      <c r="D14" s="5"/>
      <c r="F14" s="13">
        <v>10920</v>
      </c>
      <c r="G14" s="13">
        <f t="shared" si="1"/>
        <v>9069</v>
      </c>
      <c r="H14" s="13">
        <v>19989</v>
      </c>
      <c r="I14" s="13">
        <f t="shared" si="2"/>
        <v>13286</v>
      </c>
      <c r="J14" s="13">
        <v>33275</v>
      </c>
      <c r="K14" s="13">
        <f t="shared" si="3"/>
        <v>4740</v>
      </c>
      <c r="L14" s="13">
        <v>38015</v>
      </c>
      <c r="M14" s="13">
        <v>-25801</v>
      </c>
      <c r="N14" s="13">
        <v>-3956</v>
      </c>
      <c r="O14" s="13">
        <v>-29757</v>
      </c>
      <c r="P14" s="13">
        <v>12051</v>
      </c>
      <c r="Q14" s="13">
        <v>-17706</v>
      </c>
      <c r="R14" s="13">
        <v>25650</v>
      </c>
      <c r="S14" s="13">
        <v>7944</v>
      </c>
      <c r="T14" s="13">
        <v>20413</v>
      </c>
      <c r="U14" s="13">
        <v>-6009</v>
      </c>
      <c r="V14" s="13">
        <v>14404</v>
      </c>
      <c r="W14" s="13">
        <v>591</v>
      </c>
      <c r="X14" s="13">
        <v>14995</v>
      </c>
      <c r="Y14" s="13">
        <v>17836</v>
      </c>
      <c r="Z14" s="13">
        <v>32831</v>
      </c>
      <c r="AA14" s="13">
        <v>4290</v>
      </c>
      <c r="AB14" s="13">
        <f t="shared" si="4"/>
        <v>5646</v>
      </c>
      <c r="AC14" s="13">
        <v>9936</v>
      </c>
      <c r="AD14" s="13">
        <v>4406</v>
      </c>
      <c r="AE14" s="13">
        <v>14342</v>
      </c>
      <c r="AF14" s="13">
        <v>2191</v>
      </c>
      <c r="AG14" s="13">
        <v>16533</v>
      </c>
      <c r="AH14" s="13">
        <v>8317</v>
      </c>
      <c r="AI14" s="13">
        <v>12041</v>
      </c>
      <c r="AJ14" s="13">
        <v>20358</v>
      </c>
      <c r="AK14" s="13">
        <v>12516</v>
      </c>
      <c r="AL14" s="13">
        <v>32874</v>
      </c>
      <c r="AM14" s="13">
        <v>15239</v>
      </c>
      <c r="AN14" s="13">
        <v>48113</v>
      </c>
      <c r="AO14" s="13">
        <v>72137</v>
      </c>
      <c r="AP14" s="13">
        <v>-19714</v>
      </c>
      <c r="AQ14" s="13">
        <v>52423</v>
      </c>
      <c r="AR14" s="13">
        <v>37959</v>
      </c>
      <c r="AS14" s="13">
        <v>90382</v>
      </c>
      <c r="AT14" s="13">
        <v>7995</v>
      </c>
      <c r="AU14" s="13">
        <v>98377</v>
      </c>
      <c r="AV14" s="13">
        <v>23909</v>
      </c>
      <c r="AW14" s="13">
        <v>-9126</v>
      </c>
      <c r="AX14" s="13">
        <v>14783</v>
      </c>
      <c r="AY14" s="13">
        <v>-61566</v>
      </c>
      <c r="AZ14" s="13">
        <v>-46783</v>
      </c>
      <c r="BA14" s="13">
        <v>-23319</v>
      </c>
      <c r="BB14" s="13">
        <v>-70102</v>
      </c>
      <c r="BC14" s="13">
        <v>14047</v>
      </c>
      <c r="BD14" s="13">
        <v>-28367</v>
      </c>
      <c r="BE14" s="13">
        <v>-14320</v>
      </c>
      <c r="BF14" s="13">
        <v>11310</v>
      </c>
      <c r="BG14" s="13">
        <v>-3010</v>
      </c>
      <c r="BH14" s="13">
        <v>-14576</v>
      </c>
      <c r="BI14" s="13">
        <f t="shared" si="0"/>
        <v>-17586</v>
      </c>
      <c r="BJ14" s="13">
        <v>15591</v>
      </c>
      <c r="BK14" s="13">
        <f t="shared" si="5"/>
        <v>49547</v>
      </c>
      <c r="BL14" s="13">
        <f>15591+49547</f>
        <v>65138</v>
      </c>
      <c r="BM14" s="13">
        <f t="shared" si="6"/>
        <v>47308</v>
      </c>
      <c r="BN14" s="13">
        <f>15591+49547+47308</f>
        <v>112446</v>
      </c>
      <c r="BO14" s="13">
        <f t="shared" si="7"/>
        <v>13152</v>
      </c>
      <c r="BP14" s="13">
        <v>125598</v>
      </c>
      <c r="BQ14" s="13">
        <v>-2301</v>
      </c>
      <c r="BR14" s="13">
        <f t="shared" si="8"/>
        <v>-12457</v>
      </c>
      <c r="BS14" s="13">
        <v>-14758</v>
      </c>
      <c r="BT14" s="13">
        <f t="shared" si="9"/>
        <v>2275</v>
      </c>
      <c r="BU14" s="13">
        <v>-12483</v>
      </c>
      <c r="BV14" s="13">
        <f t="shared" si="10"/>
        <v>-55823</v>
      </c>
      <c r="BW14" s="13">
        <v>-68306</v>
      </c>
      <c r="BX14" s="13">
        <v>-6546</v>
      </c>
      <c r="BY14" s="13">
        <f t="shared" si="11"/>
        <v>-29311</v>
      </c>
      <c r="BZ14" s="13">
        <v>-35857</v>
      </c>
      <c r="CA14" s="13">
        <f t="shared" si="12"/>
        <v>-20278</v>
      </c>
      <c r="CB14" s="13">
        <v>-56135</v>
      </c>
      <c r="CC14" s="13">
        <f t="shared" si="13"/>
        <v>-46008</v>
      </c>
      <c r="CD14" s="13">
        <v>-102143</v>
      </c>
      <c r="CE14" s="13">
        <v>-13680</v>
      </c>
      <c r="CF14" s="13">
        <f t="shared" si="14"/>
        <v>-12613</v>
      </c>
      <c r="CG14" s="13">
        <v>-26293</v>
      </c>
      <c r="CH14" s="13">
        <f t="shared" si="15"/>
        <v>-15291</v>
      </c>
      <c r="CI14" s="13">
        <v>-41584</v>
      </c>
      <c r="CJ14" s="13">
        <f t="shared" si="16"/>
        <v>-17975</v>
      </c>
      <c r="CK14" s="13">
        <v>-59559</v>
      </c>
    </row>
    <row r="15" spans="1:91" s="21" customFormat="1" ht="11.25">
      <c r="A15" s="4" t="s">
        <v>41</v>
      </c>
      <c r="B15" s="19" t="s">
        <v>74</v>
      </c>
      <c r="C15" s="19"/>
      <c r="D15" s="5"/>
      <c r="F15" s="13">
        <v>-300</v>
      </c>
      <c r="G15" s="13">
        <f t="shared" si="1"/>
        <v>41</v>
      </c>
      <c r="H15" s="13">
        <v>-259</v>
      </c>
      <c r="I15" s="13">
        <f t="shared" si="2"/>
        <v>31</v>
      </c>
      <c r="J15" s="13">
        <v>-228</v>
      </c>
      <c r="K15" s="13">
        <f t="shared" si="3"/>
        <v>-265</v>
      </c>
      <c r="L15" s="13">
        <v>-493</v>
      </c>
      <c r="M15" s="13">
        <v>120</v>
      </c>
      <c r="N15" s="13">
        <v>-82</v>
      </c>
      <c r="O15" s="13">
        <v>38</v>
      </c>
      <c r="P15" s="13">
        <v>-129</v>
      </c>
      <c r="Q15" s="13">
        <v>-91</v>
      </c>
      <c r="R15" s="13">
        <v>-244</v>
      </c>
      <c r="S15" s="13">
        <v>-335</v>
      </c>
      <c r="T15" s="13">
        <v>355</v>
      </c>
      <c r="U15" s="13">
        <v>-520</v>
      </c>
      <c r="V15" s="13">
        <v>-165</v>
      </c>
      <c r="W15" s="13">
        <v>-634</v>
      </c>
      <c r="X15" s="13">
        <v>-799</v>
      </c>
      <c r="Y15" s="13">
        <v>-90</v>
      </c>
      <c r="Z15" s="13">
        <v>-889</v>
      </c>
      <c r="AA15" s="13">
        <v>231</v>
      </c>
      <c r="AB15" s="13">
        <f t="shared" si="4"/>
        <v>91</v>
      </c>
      <c r="AC15" s="13">
        <v>322</v>
      </c>
      <c r="AD15" s="13">
        <v>513</v>
      </c>
      <c r="AE15" s="13">
        <v>835</v>
      </c>
      <c r="AF15" s="13">
        <v>239</v>
      </c>
      <c r="AG15" s="13">
        <v>1074</v>
      </c>
      <c r="AH15" s="13">
        <v>-280</v>
      </c>
      <c r="AI15" s="13">
        <v>74</v>
      </c>
      <c r="AJ15" s="13">
        <v>-206</v>
      </c>
      <c r="AK15" s="13">
        <v>15</v>
      </c>
      <c r="AL15" s="13">
        <v>-191</v>
      </c>
      <c r="AM15" s="13">
        <v>-401</v>
      </c>
      <c r="AN15" s="13">
        <v>-592</v>
      </c>
      <c r="AO15" s="13">
        <v>-329</v>
      </c>
      <c r="AP15" s="13">
        <v>-362</v>
      </c>
      <c r="AQ15" s="13">
        <v>-691</v>
      </c>
      <c r="AR15" s="13">
        <v>-383</v>
      </c>
      <c r="AS15" s="13">
        <v>-1074</v>
      </c>
      <c r="AT15" s="13">
        <v>-160</v>
      </c>
      <c r="AU15" s="13">
        <v>-1234</v>
      </c>
      <c r="AV15" s="13">
        <v>74</v>
      </c>
      <c r="AW15" s="13">
        <v>-71</v>
      </c>
      <c r="AX15" s="13">
        <v>3</v>
      </c>
      <c r="AY15" s="13">
        <v>-942</v>
      </c>
      <c r="AZ15" s="13">
        <v>-939</v>
      </c>
      <c r="BA15" s="13">
        <v>-243</v>
      </c>
      <c r="BB15" s="13">
        <v>-1182</v>
      </c>
      <c r="BC15" s="13">
        <v>66</v>
      </c>
      <c r="BD15" s="13">
        <v>25</v>
      </c>
      <c r="BE15" s="13">
        <v>91</v>
      </c>
      <c r="BF15" s="13">
        <v>47</v>
      </c>
      <c r="BG15" s="13">
        <v>138</v>
      </c>
      <c r="BH15" s="13">
        <v>30</v>
      </c>
      <c r="BI15" s="13">
        <f t="shared" si="0"/>
        <v>168</v>
      </c>
      <c r="BJ15" s="13">
        <v>-127</v>
      </c>
      <c r="BK15" s="13">
        <f t="shared" si="5"/>
        <v>533</v>
      </c>
      <c r="BL15" s="13">
        <f>-127+533</f>
        <v>406</v>
      </c>
      <c r="BM15" s="13">
        <f t="shared" si="6"/>
        <v>195</v>
      </c>
      <c r="BN15" s="13">
        <f>-127+533+195</f>
        <v>601</v>
      </c>
      <c r="BO15" s="13">
        <f t="shared" si="7"/>
        <v>-230</v>
      </c>
      <c r="BP15" s="13">
        <v>371</v>
      </c>
      <c r="BQ15" s="13">
        <v>432</v>
      </c>
      <c r="BR15" s="13">
        <f t="shared" si="8"/>
        <v>-683</v>
      </c>
      <c r="BS15" s="13">
        <v>-251</v>
      </c>
      <c r="BT15" s="13">
        <f t="shared" si="9"/>
        <v>-169</v>
      </c>
      <c r="BU15" s="13">
        <v>-420</v>
      </c>
      <c r="BV15" s="13">
        <f t="shared" si="10"/>
        <v>652</v>
      </c>
      <c r="BW15" s="13">
        <v>232</v>
      </c>
      <c r="BX15" s="13">
        <v>0</v>
      </c>
      <c r="BY15" s="13">
        <f t="shared" si="11"/>
        <v>0</v>
      </c>
      <c r="BZ15" s="13">
        <v>0</v>
      </c>
      <c r="CA15" s="13">
        <f t="shared" si="12"/>
        <v>0</v>
      </c>
      <c r="CB15" s="13">
        <v>0</v>
      </c>
      <c r="CC15" s="13">
        <f t="shared" si="13"/>
        <v>0</v>
      </c>
      <c r="CD15" s="13">
        <v>0</v>
      </c>
      <c r="CE15" s="13">
        <v>0</v>
      </c>
      <c r="CF15" s="13">
        <f t="shared" si="14"/>
        <v>0</v>
      </c>
      <c r="CG15" s="13">
        <v>0</v>
      </c>
      <c r="CH15" s="13">
        <f t="shared" si="15"/>
        <v>0</v>
      </c>
      <c r="CI15" s="13">
        <v>0</v>
      </c>
      <c r="CJ15" s="13">
        <f t="shared" si="16"/>
        <v>0</v>
      </c>
      <c r="CK15" s="13">
        <v>0</v>
      </c>
    </row>
    <row r="16" spans="1:91" s="21" customFormat="1" ht="11.25">
      <c r="A16" s="4" t="s">
        <v>19</v>
      </c>
      <c r="B16" s="5" t="s">
        <v>75</v>
      </c>
      <c r="C16" s="5"/>
      <c r="D16" s="5"/>
      <c r="F16" s="13">
        <v>13630</v>
      </c>
      <c r="G16" s="13">
        <f t="shared" si="1"/>
        <v>16756</v>
      </c>
      <c r="H16" s="13">
        <v>30386</v>
      </c>
      <c r="I16" s="13">
        <f t="shared" si="2"/>
        <v>6986</v>
      </c>
      <c r="J16" s="13">
        <v>37372</v>
      </c>
      <c r="K16" s="13">
        <f t="shared" si="3"/>
        <v>27002</v>
      </c>
      <c r="L16" s="13">
        <v>64374</v>
      </c>
      <c r="M16" s="13">
        <v>37346</v>
      </c>
      <c r="N16" s="13">
        <v>55129</v>
      </c>
      <c r="O16" s="13">
        <v>92475</v>
      </c>
      <c r="P16" s="13">
        <v>11199</v>
      </c>
      <c r="Q16" s="13">
        <v>103674</v>
      </c>
      <c r="R16" s="13">
        <v>3988</v>
      </c>
      <c r="S16" s="13">
        <v>107662</v>
      </c>
      <c r="T16" s="13">
        <v>28438</v>
      </c>
      <c r="U16" s="13">
        <v>15882</v>
      </c>
      <c r="V16" s="13">
        <v>44320</v>
      </c>
      <c r="W16" s="13">
        <v>22809</v>
      </c>
      <c r="X16" s="13">
        <v>67129</v>
      </c>
      <c r="Y16" s="13">
        <v>248337</v>
      </c>
      <c r="Z16" s="13">
        <v>315466</v>
      </c>
      <c r="AA16" s="13">
        <v>67761</v>
      </c>
      <c r="AB16" s="13">
        <f t="shared" si="4"/>
        <v>32660</v>
      </c>
      <c r="AC16" s="13">
        <v>100421</v>
      </c>
      <c r="AD16" s="13">
        <v>25636</v>
      </c>
      <c r="AE16" s="13">
        <v>126057</v>
      </c>
      <c r="AF16" s="13">
        <v>38242</v>
      </c>
      <c r="AG16" s="13">
        <v>164299</v>
      </c>
      <c r="AH16" s="13">
        <v>24834</v>
      </c>
      <c r="AI16" s="13">
        <v>73324</v>
      </c>
      <c r="AJ16" s="13">
        <v>98158</v>
      </c>
      <c r="AK16" s="13">
        <v>14338</v>
      </c>
      <c r="AL16" s="13">
        <v>112496</v>
      </c>
      <c r="AM16" s="13">
        <v>53082</v>
      </c>
      <c r="AN16" s="13">
        <v>165578</v>
      </c>
      <c r="AO16" s="13">
        <v>11984</v>
      </c>
      <c r="AP16" s="13">
        <v>21060</v>
      </c>
      <c r="AQ16" s="13">
        <v>33044</v>
      </c>
      <c r="AR16" s="13">
        <v>16995</v>
      </c>
      <c r="AS16" s="13">
        <v>50039</v>
      </c>
      <c r="AT16" s="13">
        <v>41941</v>
      </c>
      <c r="AU16" s="13">
        <v>91980</v>
      </c>
      <c r="AV16" s="13">
        <v>95</v>
      </c>
      <c r="AW16" s="13">
        <v>10009</v>
      </c>
      <c r="AX16" s="13">
        <v>10104</v>
      </c>
      <c r="AY16" s="13">
        <v>1853</v>
      </c>
      <c r="AZ16" s="13">
        <v>11957</v>
      </c>
      <c r="BA16" s="13">
        <v>-639</v>
      </c>
      <c r="BB16" s="13">
        <v>11318</v>
      </c>
      <c r="BC16" s="13">
        <f>+BC17+BC20+BC18</f>
        <v>48</v>
      </c>
      <c r="BD16" s="13">
        <f>+BD17+BD20+BD18</f>
        <v>34627</v>
      </c>
      <c r="BE16" s="13">
        <v>34675</v>
      </c>
      <c r="BF16" s="13">
        <f>+BF17+BF20+BF18+BF19</f>
        <v>1149</v>
      </c>
      <c r="BG16" s="13">
        <v>35824</v>
      </c>
      <c r="BH16" s="13">
        <f>+BH17+BH20+BH18+BH19</f>
        <v>-1508</v>
      </c>
      <c r="BI16" s="13">
        <f t="shared" si="0"/>
        <v>34316</v>
      </c>
      <c r="BJ16" s="13">
        <f>+BJ17+BJ18+BJ19+BJ20</f>
        <v>13036</v>
      </c>
      <c r="BK16" s="13">
        <f t="shared" si="5"/>
        <v>2239</v>
      </c>
      <c r="BL16" s="13">
        <f>+BL17+BL18+BL19+BL20</f>
        <v>15275</v>
      </c>
      <c r="BM16" s="13">
        <f t="shared" si="6"/>
        <v>2467</v>
      </c>
      <c r="BN16" s="13">
        <f>+BN17+BN18+BN19+BN20</f>
        <v>17742</v>
      </c>
      <c r="BO16" s="13">
        <f t="shared" si="7"/>
        <v>1151</v>
      </c>
      <c r="BP16" s="13">
        <f>+BP17+BP18+BP19+BP20</f>
        <v>18893</v>
      </c>
      <c r="BQ16" s="13">
        <v>587</v>
      </c>
      <c r="BR16" s="13">
        <f t="shared" si="8"/>
        <v>6863</v>
      </c>
      <c r="BS16" s="13">
        <f>+BS17+BS18+BS19+BS20</f>
        <v>7450</v>
      </c>
      <c r="BT16" s="13">
        <f t="shared" si="9"/>
        <v>635</v>
      </c>
      <c r="BU16" s="13">
        <f>+BU17+BU18+BU20</f>
        <v>8085</v>
      </c>
      <c r="BV16" s="13">
        <f t="shared" si="10"/>
        <v>6748</v>
      </c>
      <c r="BW16" s="13">
        <v>14833</v>
      </c>
      <c r="BX16" s="13">
        <v>20760</v>
      </c>
      <c r="BY16" s="13">
        <f t="shared" si="11"/>
        <v>8034</v>
      </c>
      <c r="BZ16" s="13">
        <v>28794</v>
      </c>
      <c r="CA16" s="13">
        <f t="shared" si="12"/>
        <v>548</v>
      </c>
      <c r="CB16" s="13">
        <v>29342</v>
      </c>
      <c r="CC16" s="13">
        <f t="shared" si="13"/>
        <v>10003</v>
      </c>
      <c r="CD16" s="13">
        <v>39345</v>
      </c>
      <c r="CE16" s="13">
        <v>8894</v>
      </c>
      <c r="CF16" s="13">
        <f t="shared" si="14"/>
        <v>34987</v>
      </c>
      <c r="CG16" s="13">
        <v>43881</v>
      </c>
      <c r="CH16" s="13">
        <f t="shared" si="15"/>
        <v>6059</v>
      </c>
      <c r="CI16" s="13">
        <v>49940</v>
      </c>
      <c r="CJ16" s="13">
        <f t="shared" si="16"/>
        <v>13839</v>
      </c>
      <c r="CK16" s="13">
        <v>63779</v>
      </c>
    </row>
    <row r="17" spans="1:89" s="21" customFormat="1" ht="11.25">
      <c r="A17" s="4"/>
      <c r="B17" s="5" t="s">
        <v>121</v>
      </c>
      <c r="C17" s="5" t="s">
        <v>122</v>
      </c>
      <c r="D17" s="5"/>
      <c r="E17" s="5"/>
      <c r="F17" s="13">
        <v>1253</v>
      </c>
      <c r="G17" s="13">
        <f t="shared" si="1"/>
        <v>-9105</v>
      </c>
      <c r="H17" s="13">
        <v>-7852</v>
      </c>
      <c r="I17" s="13">
        <f t="shared" si="2"/>
        <v>-5170</v>
      </c>
      <c r="J17" s="13">
        <v>-13022</v>
      </c>
      <c r="K17" s="13">
        <f t="shared" si="3"/>
        <v>591</v>
      </c>
      <c r="L17" s="13">
        <v>-12431</v>
      </c>
      <c r="M17" s="13">
        <v>7</v>
      </c>
      <c r="N17" s="13">
        <v>1027</v>
      </c>
      <c r="O17" s="13">
        <v>1034</v>
      </c>
      <c r="P17" s="13">
        <v>-4495</v>
      </c>
      <c r="Q17" s="13">
        <v>-3461</v>
      </c>
      <c r="R17" s="13">
        <v>-6287</v>
      </c>
      <c r="S17" s="13">
        <v>-9748</v>
      </c>
      <c r="T17" s="13">
        <v>3804</v>
      </c>
      <c r="U17" s="13">
        <v>601</v>
      </c>
      <c r="V17" s="13">
        <v>4405</v>
      </c>
      <c r="W17" s="13">
        <v>-200</v>
      </c>
      <c r="X17" s="13">
        <v>4205</v>
      </c>
      <c r="Y17" s="13">
        <v>-182</v>
      </c>
      <c r="Z17" s="13">
        <v>4023</v>
      </c>
      <c r="AA17" s="13">
        <v>107</v>
      </c>
      <c r="AB17" s="13">
        <f t="shared" si="4"/>
        <v>59</v>
      </c>
      <c r="AC17" s="13">
        <v>166</v>
      </c>
      <c r="AD17" s="13">
        <v>-29716</v>
      </c>
      <c r="AE17" s="13">
        <v>-29550</v>
      </c>
      <c r="AF17" s="13">
        <v>-409</v>
      </c>
      <c r="AG17" s="13">
        <v>-29959</v>
      </c>
      <c r="AH17" s="13">
        <v>36</v>
      </c>
      <c r="AI17" s="13">
        <v>-723</v>
      </c>
      <c r="AJ17" s="13">
        <v>-687</v>
      </c>
      <c r="AK17" s="13">
        <v>-528</v>
      </c>
      <c r="AL17" s="13">
        <v>-1215</v>
      </c>
      <c r="AM17" s="13">
        <v>286</v>
      </c>
      <c r="AN17" s="13">
        <v>-929</v>
      </c>
      <c r="AO17" s="13">
        <v>169</v>
      </c>
      <c r="AP17" s="13">
        <v>-515</v>
      </c>
      <c r="AQ17" s="13">
        <v>-346</v>
      </c>
      <c r="AR17" s="13">
        <v>-122</v>
      </c>
      <c r="AS17" s="13">
        <v>-468</v>
      </c>
      <c r="AT17" s="13">
        <v>-306</v>
      </c>
      <c r="AU17" s="13">
        <v>-774</v>
      </c>
      <c r="AV17" s="13">
        <v>492</v>
      </c>
      <c r="AW17" s="13">
        <v>495</v>
      </c>
      <c r="AX17" s="13">
        <v>987</v>
      </c>
      <c r="AY17" s="13">
        <v>8</v>
      </c>
      <c r="AZ17" s="13">
        <v>995</v>
      </c>
      <c r="BA17" s="13">
        <v>-776</v>
      </c>
      <c r="BB17" s="13">
        <v>219</v>
      </c>
      <c r="BC17" s="13">
        <v>311</v>
      </c>
      <c r="BD17" s="13">
        <v>308</v>
      </c>
      <c r="BE17" s="13">
        <v>619</v>
      </c>
      <c r="BF17" s="13">
        <v>-416</v>
      </c>
      <c r="BG17" s="13">
        <v>203</v>
      </c>
      <c r="BH17" s="13">
        <v>-2551</v>
      </c>
      <c r="BI17" s="13">
        <f t="shared" si="0"/>
        <v>-2348</v>
      </c>
      <c r="BJ17" s="13">
        <v>322</v>
      </c>
      <c r="BK17" s="13">
        <f t="shared" si="5"/>
        <v>-166</v>
      </c>
      <c r="BL17" s="13">
        <f>322-166</f>
        <v>156</v>
      </c>
      <c r="BM17" s="13">
        <f t="shared" si="6"/>
        <v>166</v>
      </c>
      <c r="BN17" s="13">
        <f>322-166+166</f>
        <v>322</v>
      </c>
      <c r="BO17" s="13">
        <f t="shared" si="7"/>
        <v>206</v>
      </c>
      <c r="BP17" s="13">
        <v>528</v>
      </c>
      <c r="BQ17" s="13">
        <v>0</v>
      </c>
      <c r="BR17" s="13">
        <f t="shared" si="8"/>
        <v>0</v>
      </c>
      <c r="BS17" s="13">
        <v>0</v>
      </c>
      <c r="BT17" s="13">
        <f t="shared" si="9"/>
        <v>0</v>
      </c>
      <c r="BU17" s="13">
        <v>0</v>
      </c>
      <c r="BV17" s="13">
        <f t="shared" si="10"/>
        <v>1</v>
      </c>
      <c r="BW17" s="13">
        <v>1</v>
      </c>
      <c r="BX17" s="13">
        <v>1</v>
      </c>
      <c r="BY17" s="13">
        <f t="shared" si="11"/>
        <v>-1</v>
      </c>
      <c r="BZ17" s="13">
        <v>0</v>
      </c>
      <c r="CA17" s="13">
        <f t="shared" si="12"/>
        <v>-5</v>
      </c>
      <c r="CB17" s="13">
        <v>-5</v>
      </c>
      <c r="CC17" s="13">
        <f t="shared" si="13"/>
        <v>0</v>
      </c>
      <c r="CD17" s="13">
        <v>-5</v>
      </c>
      <c r="CE17" s="13">
        <v>15</v>
      </c>
      <c r="CF17" s="13">
        <f t="shared" si="14"/>
        <v>39</v>
      </c>
      <c r="CG17" s="13">
        <v>54</v>
      </c>
      <c r="CH17" s="13">
        <f t="shared" si="15"/>
        <v>968</v>
      </c>
      <c r="CI17" s="13">
        <v>1022</v>
      </c>
      <c r="CJ17" s="13">
        <f t="shared" si="16"/>
        <v>-968</v>
      </c>
      <c r="CK17" s="13">
        <v>54</v>
      </c>
    </row>
    <row r="18" spans="1:89" s="21" customFormat="1" ht="11.25">
      <c r="A18" s="4"/>
      <c r="B18" s="5" t="s">
        <v>123</v>
      </c>
      <c r="C18" s="5" t="s">
        <v>124</v>
      </c>
      <c r="D18" s="5"/>
      <c r="E18" s="5"/>
      <c r="F18" s="13">
        <v>12378</v>
      </c>
      <c r="G18" s="13">
        <f t="shared" si="1"/>
        <v>25466</v>
      </c>
      <c r="H18" s="13">
        <v>37844</v>
      </c>
      <c r="I18" s="13">
        <f t="shared" si="2"/>
        <v>12027</v>
      </c>
      <c r="J18" s="13">
        <v>49871</v>
      </c>
      <c r="K18" s="13">
        <f t="shared" si="3"/>
        <v>26153</v>
      </c>
      <c r="L18" s="13">
        <v>76024</v>
      </c>
      <c r="M18" s="13">
        <v>38237</v>
      </c>
      <c r="N18" s="13">
        <v>54210</v>
      </c>
      <c r="O18" s="13">
        <v>92447</v>
      </c>
      <c r="P18" s="13">
        <v>15833</v>
      </c>
      <c r="Q18" s="13">
        <v>108280</v>
      </c>
      <c r="R18" s="13">
        <v>10347</v>
      </c>
      <c r="S18" s="13">
        <v>118627</v>
      </c>
      <c r="T18" s="13">
        <v>25092</v>
      </c>
      <c r="U18" s="13">
        <v>15486</v>
      </c>
      <c r="V18" s="13">
        <v>40578</v>
      </c>
      <c r="W18" s="13">
        <v>23048</v>
      </c>
      <c r="X18" s="13">
        <v>63626</v>
      </c>
      <c r="Y18" s="13">
        <v>249545</v>
      </c>
      <c r="Z18" s="13">
        <v>313171</v>
      </c>
      <c r="AA18" s="13">
        <v>67430</v>
      </c>
      <c r="AB18" s="13">
        <f t="shared" si="4"/>
        <v>32784</v>
      </c>
      <c r="AC18" s="13">
        <v>100214</v>
      </c>
      <c r="AD18" s="13">
        <v>55393</v>
      </c>
      <c r="AE18" s="13">
        <v>155607</v>
      </c>
      <c r="AF18" s="13">
        <v>38939</v>
      </c>
      <c r="AG18" s="13">
        <v>194546</v>
      </c>
      <c r="AH18" s="13">
        <v>23417</v>
      </c>
      <c r="AI18" s="13">
        <v>74004</v>
      </c>
      <c r="AJ18" s="13">
        <v>97421</v>
      </c>
      <c r="AK18" s="13">
        <v>12641</v>
      </c>
      <c r="AL18" s="13">
        <v>110062</v>
      </c>
      <c r="AM18" s="13">
        <v>51992</v>
      </c>
      <c r="AN18" s="13">
        <v>162054</v>
      </c>
      <c r="AO18" s="13">
        <v>11077</v>
      </c>
      <c r="AP18" s="13">
        <v>-351</v>
      </c>
      <c r="AQ18" s="13">
        <v>10726</v>
      </c>
      <c r="AR18" s="13">
        <v>15264</v>
      </c>
      <c r="AS18" s="13">
        <v>25990</v>
      </c>
      <c r="AT18" s="13">
        <v>42024</v>
      </c>
      <c r="AU18" s="13">
        <v>68014</v>
      </c>
      <c r="AV18" s="13">
        <v>-65</v>
      </c>
      <c r="AW18" s="13">
        <v>4990</v>
      </c>
      <c r="AX18" s="13">
        <v>4925</v>
      </c>
      <c r="AY18" s="13">
        <v>483</v>
      </c>
      <c r="AZ18" s="13">
        <v>5408</v>
      </c>
      <c r="BA18" s="13">
        <v>-62</v>
      </c>
      <c r="BB18" s="13">
        <v>5346</v>
      </c>
      <c r="BC18" s="13">
        <v>-111</v>
      </c>
      <c r="BD18" s="13">
        <v>35054</v>
      </c>
      <c r="BE18" s="13">
        <v>34943</v>
      </c>
      <c r="BF18" s="13">
        <v>1980</v>
      </c>
      <c r="BG18" s="13">
        <v>36923</v>
      </c>
      <c r="BH18" s="13">
        <v>1392</v>
      </c>
      <c r="BI18" s="13">
        <f t="shared" si="0"/>
        <v>38315</v>
      </c>
      <c r="BJ18" s="13">
        <v>977</v>
      </c>
      <c r="BK18" s="13">
        <f t="shared" si="5"/>
        <v>1957</v>
      </c>
      <c r="BL18" s="13">
        <f>977+1957</f>
        <v>2934</v>
      </c>
      <c r="BM18" s="13">
        <f t="shared" si="6"/>
        <v>2576</v>
      </c>
      <c r="BN18" s="13">
        <f>977+1957+2576</f>
        <v>5510</v>
      </c>
      <c r="BO18" s="13">
        <f t="shared" si="7"/>
        <v>982</v>
      </c>
      <c r="BP18" s="13">
        <v>6492</v>
      </c>
      <c r="BQ18" s="13">
        <v>12</v>
      </c>
      <c r="BR18" s="13">
        <f t="shared" si="8"/>
        <v>6218</v>
      </c>
      <c r="BS18" s="13">
        <v>6230</v>
      </c>
      <c r="BT18" s="13">
        <f t="shared" si="9"/>
        <v>59</v>
      </c>
      <c r="BU18" s="13">
        <v>6289</v>
      </c>
      <c r="BV18" s="13">
        <f t="shared" si="10"/>
        <v>329</v>
      </c>
      <c r="BW18" s="13">
        <v>6618</v>
      </c>
      <c r="BX18" s="13">
        <v>20282</v>
      </c>
      <c r="BY18" s="13">
        <f t="shared" si="11"/>
        <v>10374</v>
      </c>
      <c r="BZ18" s="13">
        <v>30656</v>
      </c>
      <c r="CA18" s="13">
        <f t="shared" si="12"/>
        <v>-77</v>
      </c>
      <c r="CB18" s="13">
        <v>30579</v>
      </c>
      <c r="CC18" s="13">
        <f t="shared" si="13"/>
        <v>9453</v>
      </c>
      <c r="CD18" s="13">
        <v>40032</v>
      </c>
      <c r="CE18" s="13">
        <v>8902</v>
      </c>
      <c r="CF18" s="13">
        <f t="shared" si="14"/>
        <v>34631</v>
      </c>
      <c r="CG18" s="13">
        <v>43533</v>
      </c>
      <c r="CH18" s="13">
        <f t="shared" si="15"/>
        <v>4712</v>
      </c>
      <c r="CI18" s="13">
        <v>48245</v>
      </c>
      <c r="CJ18" s="13">
        <f t="shared" si="16"/>
        <v>14391</v>
      </c>
      <c r="CK18" s="13">
        <v>62636</v>
      </c>
    </row>
    <row r="19" spans="1:89" s="21" customFormat="1" ht="12.75" customHeight="1">
      <c r="A19" s="4"/>
      <c r="B19" s="5" t="s">
        <v>125</v>
      </c>
      <c r="C19" s="5" t="s">
        <v>126</v>
      </c>
      <c r="D19" s="5"/>
      <c r="E19" s="5"/>
      <c r="F19" s="13">
        <v>0</v>
      </c>
      <c r="G19" s="13">
        <f t="shared" si="1"/>
        <v>316</v>
      </c>
      <c r="H19" s="13">
        <v>316</v>
      </c>
      <c r="I19" s="13">
        <f t="shared" si="2"/>
        <v>0</v>
      </c>
      <c r="J19" s="13">
        <v>316</v>
      </c>
      <c r="K19" s="13">
        <f t="shared" si="3"/>
        <v>0</v>
      </c>
      <c r="L19" s="13">
        <v>316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  <c r="S19" s="13">
        <v>0</v>
      </c>
      <c r="T19" s="13">
        <v>-92</v>
      </c>
      <c r="U19" s="13">
        <v>300</v>
      </c>
      <c r="V19" s="13">
        <v>208</v>
      </c>
      <c r="W19" s="13">
        <v>0</v>
      </c>
      <c r="X19" s="13">
        <v>208</v>
      </c>
      <c r="Y19" s="13">
        <v>13</v>
      </c>
      <c r="Z19" s="13">
        <v>221</v>
      </c>
      <c r="AA19" s="13">
        <v>0</v>
      </c>
      <c r="AB19" s="13">
        <f t="shared" si="4"/>
        <v>0</v>
      </c>
      <c r="AC19" s="13">
        <v>0</v>
      </c>
      <c r="AD19" s="13">
        <v>0</v>
      </c>
      <c r="AE19" s="13">
        <v>0</v>
      </c>
      <c r="AF19" s="13">
        <v>0</v>
      </c>
      <c r="AG19" s="13">
        <v>0</v>
      </c>
      <c r="AH19" s="13">
        <v>0</v>
      </c>
      <c r="AI19" s="13">
        <v>0</v>
      </c>
      <c r="AJ19" s="13">
        <v>0</v>
      </c>
      <c r="AK19" s="13">
        <v>0</v>
      </c>
      <c r="AL19" s="13">
        <v>0</v>
      </c>
      <c r="AM19" s="13">
        <v>0</v>
      </c>
      <c r="AN19" s="13">
        <v>0</v>
      </c>
      <c r="AO19" s="13">
        <v>-179</v>
      </c>
      <c r="AP19" s="13">
        <v>0</v>
      </c>
      <c r="AQ19" s="13">
        <v>-179</v>
      </c>
      <c r="AR19" s="13">
        <v>0</v>
      </c>
      <c r="AS19" s="13">
        <v>-179</v>
      </c>
      <c r="AT19" s="13">
        <v>0</v>
      </c>
      <c r="AU19" s="13">
        <v>-179</v>
      </c>
      <c r="AV19" s="13">
        <v>9</v>
      </c>
      <c r="AW19" s="13">
        <v>-9</v>
      </c>
      <c r="AX19" s="13">
        <v>0</v>
      </c>
      <c r="AY19" s="13">
        <v>1</v>
      </c>
      <c r="AZ19" s="13">
        <v>1</v>
      </c>
      <c r="BA19" s="13">
        <v>-1</v>
      </c>
      <c r="BB19" s="13">
        <v>0</v>
      </c>
      <c r="BC19" s="13">
        <v>0</v>
      </c>
      <c r="BD19" s="13">
        <v>0</v>
      </c>
      <c r="BE19" s="13">
        <v>0</v>
      </c>
      <c r="BF19" s="13">
        <v>0</v>
      </c>
      <c r="BG19" s="13">
        <v>0</v>
      </c>
      <c r="BH19" s="13">
        <v>0</v>
      </c>
      <c r="BI19" s="13">
        <f t="shared" si="0"/>
        <v>0</v>
      </c>
      <c r="BJ19" s="13">
        <v>0</v>
      </c>
      <c r="BK19" s="13">
        <f t="shared" si="5"/>
        <v>0</v>
      </c>
      <c r="BL19" s="13">
        <v>0</v>
      </c>
      <c r="BM19" s="13">
        <f t="shared" si="6"/>
        <v>-13</v>
      </c>
      <c r="BN19" s="13">
        <v>-13</v>
      </c>
      <c r="BO19" s="13">
        <f t="shared" si="7"/>
        <v>1</v>
      </c>
      <c r="BP19" s="13">
        <v>-12</v>
      </c>
      <c r="BQ19" s="13">
        <v>0</v>
      </c>
      <c r="BR19" s="13">
        <f t="shared" si="8"/>
        <v>0</v>
      </c>
      <c r="BS19" s="13">
        <v>0</v>
      </c>
      <c r="BT19" s="13">
        <f t="shared" si="9"/>
        <v>0</v>
      </c>
      <c r="BU19" s="13"/>
      <c r="BV19" s="13">
        <f t="shared" si="10"/>
        <v>0</v>
      </c>
      <c r="BW19" s="13">
        <v>0</v>
      </c>
      <c r="BX19" s="13">
        <v>0</v>
      </c>
      <c r="BY19" s="13">
        <f t="shared" si="11"/>
        <v>0</v>
      </c>
      <c r="BZ19" s="13">
        <v>0</v>
      </c>
      <c r="CA19" s="13">
        <f t="shared" si="12"/>
        <v>0</v>
      </c>
      <c r="CB19" s="13">
        <v>0</v>
      </c>
      <c r="CC19" s="13">
        <f t="shared" si="13"/>
        <v>0</v>
      </c>
      <c r="CD19" s="13">
        <v>0</v>
      </c>
      <c r="CE19" s="13">
        <v>0</v>
      </c>
      <c r="CF19" s="13">
        <f t="shared" si="14"/>
        <v>0</v>
      </c>
      <c r="CG19" s="13">
        <v>0</v>
      </c>
      <c r="CH19" s="13">
        <f t="shared" si="15"/>
        <v>0</v>
      </c>
      <c r="CI19" s="13">
        <v>0</v>
      </c>
      <c r="CJ19" s="13">
        <f t="shared" si="16"/>
        <v>0</v>
      </c>
      <c r="CK19" s="13">
        <v>0</v>
      </c>
    </row>
    <row r="20" spans="1:89" s="21" customFormat="1" ht="11.25">
      <c r="A20" s="4"/>
      <c r="B20" s="5" t="s">
        <v>127</v>
      </c>
      <c r="C20" s="5" t="s">
        <v>128</v>
      </c>
      <c r="D20" s="5"/>
      <c r="E20" s="5"/>
      <c r="F20" s="13">
        <v>-1</v>
      </c>
      <c r="G20" s="13">
        <f t="shared" si="1"/>
        <v>79</v>
      </c>
      <c r="H20" s="13">
        <v>78</v>
      </c>
      <c r="I20" s="13">
        <f t="shared" si="2"/>
        <v>129</v>
      </c>
      <c r="J20" s="13">
        <v>207</v>
      </c>
      <c r="K20" s="13">
        <f t="shared" si="3"/>
        <v>258</v>
      </c>
      <c r="L20" s="13">
        <v>465</v>
      </c>
      <c r="M20" s="13">
        <v>-898</v>
      </c>
      <c r="N20" s="13">
        <v>-108</v>
      </c>
      <c r="O20" s="13">
        <v>-1006</v>
      </c>
      <c r="P20" s="13">
        <v>-139</v>
      </c>
      <c r="Q20" s="13">
        <v>-1145</v>
      </c>
      <c r="R20" s="13">
        <v>-72</v>
      </c>
      <c r="S20" s="13">
        <v>-1217</v>
      </c>
      <c r="T20" s="13">
        <v>-366</v>
      </c>
      <c r="U20" s="13">
        <v>-505</v>
      </c>
      <c r="V20" s="13">
        <v>-871</v>
      </c>
      <c r="W20" s="13">
        <v>-39</v>
      </c>
      <c r="X20" s="13">
        <v>-910</v>
      </c>
      <c r="Y20" s="13">
        <v>-1039</v>
      </c>
      <c r="Z20" s="13">
        <v>-1949</v>
      </c>
      <c r="AA20" s="13">
        <v>224</v>
      </c>
      <c r="AB20" s="13">
        <f t="shared" si="4"/>
        <v>-183</v>
      </c>
      <c r="AC20" s="13">
        <v>41</v>
      </c>
      <c r="AD20" s="13">
        <v>-41</v>
      </c>
      <c r="AE20" s="13">
        <v>0</v>
      </c>
      <c r="AF20" s="13">
        <v>-288</v>
      </c>
      <c r="AG20" s="13">
        <v>-288</v>
      </c>
      <c r="AH20" s="13">
        <v>1381</v>
      </c>
      <c r="AI20" s="13">
        <v>43</v>
      </c>
      <c r="AJ20" s="13">
        <v>1424</v>
      </c>
      <c r="AK20" s="13">
        <v>2225</v>
      </c>
      <c r="AL20" s="13">
        <v>3649</v>
      </c>
      <c r="AM20" s="13">
        <v>804</v>
      </c>
      <c r="AN20" s="13">
        <v>4453</v>
      </c>
      <c r="AO20" s="13">
        <v>917</v>
      </c>
      <c r="AP20" s="13">
        <v>21926</v>
      </c>
      <c r="AQ20" s="13">
        <v>22843</v>
      </c>
      <c r="AR20" s="13">
        <v>1853</v>
      </c>
      <c r="AS20" s="13">
        <v>24696</v>
      </c>
      <c r="AT20" s="13">
        <v>223</v>
      </c>
      <c r="AU20" s="13">
        <v>24919</v>
      </c>
      <c r="AV20" s="13">
        <v>-341</v>
      </c>
      <c r="AW20" s="13">
        <v>4533</v>
      </c>
      <c r="AX20" s="13">
        <v>4192</v>
      </c>
      <c r="AY20" s="13">
        <v>1361</v>
      </c>
      <c r="AZ20" s="13">
        <v>5553</v>
      </c>
      <c r="BA20" s="13">
        <v>200</v>
      </c>
      <c r="BB20" s="13">
        <v>5753</v>
      </c>
      <c r="BC20" s="13">
        <v>-152</v>
      </c>
      <c r="BD20" s="13">
        <v>-735</v>
      </c>
      <c r="BE20" s="13">
        <v>-887</v>
      </c>
      <c r="BF20" s="13">
        <v>-415</v>
      </c>
      <c r="BG20" s="13">
        <v>-1302</v>
      </c>
      <c r="BH20" s="13">
        <v>-349</v>
      </c>
      <c r="BI20" s="13">
        <f t="shared" si="0"/>
        <v>-1651</v>
      </c>
      <c r="BJ20" s="13">
        <v>11737</v>
      </c>
      <c r="BK20" s="13">
        <f t="shared" si="5"/>
        <v>448</v>
      </c>
      <c r="BL20" s="13">
        <f>11737+448</f>
        <v>12185</v>
      </c>
      <c r="BM20" s="13">
        <f t="shared" si="6"/>
        <v>-262</v>
      </c>
      <c r="BN20" s="13">
        <f>11737+448-262</f>
        <v>11923</v>
      </c>
      <c r="BO20" s="13">
        <f t="shared" si="7"/>
        <v>-38</v>
      </c>
      <c r="BP20" s="13">
        <v>11885</v>
      </c>
      <c r="BQ20" s="13">
        <v>575</v>
      </c>
      <c r="BR20" s="13">
        <f t="shared" si="8"/>
        <v>645</v>
      </c>
      <c r="BS20" s="13">
        <v>1220</v>
      </c>
      <c r="BT20" s="13">
        <f t="shared" si="9"/>
        <v>576</v>
      </c>
      <c r="BU20" s="13">
        <v>1796</v>
      </c>
      <c r="BV20" s="13">
        <f t="shared" si="10"/>
        <v>6418</v>
      </c>
      <c r="BW20" s="13">
        <v>8214</v>
      </c>
      <c r="BX20" s="13">
        <v>477</v>
      </c>
      <c r="BY20" s="13">
        <f t="shared" si="11"/>
        <v>-2339</v>
      </c>
      <c r="BZ20" s="13">
        <v>-1862</v>
      </c>
      <c r="CA20" s="13">
        <f t="shared" si="12"/>
        <v>630</v>
      </c>
      <c r="CB20" s="13">
        <v>-1232</v>
      </c>
      <c r="CC20" s="13">
        <f t="shared" si="13"/>
        <v>550</v>
      </c>
      <c r="CD20" s="13">
        <v>-682</v>
      </c>
      <c r="CE20" s="13">
        <v>-23</v>
      </c>
      <c r="CF20" s="13">
        <f t="shared" si="14"/>
        <v>317</v>
      </c>
      <c r="CG20" s="13">
        <v>294</v>
      </c>
      <c r="CH20" s="13">
        <f t="shared" si="15"/>
        <v>379</v>
      </c>
      <c r="CI20" s="13">
        <v>673</v>
      </c>
      <c r="CJ20" s="13">
        <f t="shared" si="16"/>
        <v>416</v>
      </c>
      <c r="CK20" s="13">
        <v>1089</v>
      </c>
    </row>
    <row r="21" spans="1:89" s="21" customFormat="1" ht="12" customHeight="1">
      <c r="A21" s="9" t="s">
        <v>44</v>
      </c>
      <c r="B21" s="5" t="s">
        <v>138</v>
      </c>
      <c r="C21" s="5"/>
      <c r="D21" s="5"/>
      <c r="F21" s="13">
        <v>414</v>
      </c>
      <c r="G21" s="13">
        <f t="shared" si="1"/>
        <v>3</v>
      </c>
      <c r="H21" s="13">
        <v>417</v>
      </c>
      <c r="I21" s="13">
        <f t="shared" si="2"/>
        <v>186</v>
      </c>
      <c r="J21" s="13">
        <v>603</v>
      </c>
      <c r="K21" s="13">
        <f t="shared" si="3"/>
        <v>635</v>
      </c>
      <c r="L21" s="13">
        <v>1238</v>
      </c>
      <c r="M21" s="13">
        <v>3997</v>
      </c>
      <c r="N21" s="13">
        <v>-2027</v>
      </c>
      <c r="O21" s="13">
        <v>1970</v>
      </c>
      <c r="P21" s="13">
        <v>2397</v>
      </c>
      <c r="Q21" s="13">
        <v>4367</v>
      </c>
      <c r="R21" s="13">
        <v>361</v>
      </c>
      <c r="S21" s="13">
        <v>4728</v>
      </c>
      <c r="T21" s="13">
        <v>-3148</v>
      </c>
      <c r="U21" s="13">
        <v>6110</v>
      </c>
      <c r="V21" s="13">
        <v>2962</v>
      </c>
      <c r="W21" s="13">
        <v>-2405</v>
      </c>
      <c r="X21" s="13">
        <v>557</v>
      </c>
      <c r="Y21" s="13">
        <v>-81</v>
      </c>
      <c r="Z21" s="13">
        <v>476</v>
      </c>
      <c r="AA21" s="13">
        <v>-8982</v>
      </c>
      <c r="AB21" s="13">
        <f t="shared" si="4"/>
        <v>7992</v>
      </c>
      <c r="AC21" s="13">
        <v>-990</v>
      </c>
      <c r="AD21" s="13">
        <v>-10232</v>
      </c>
      <c r="AE21" s="13">
        <v>-11222</v>
      </c>
      <c r="AF21" s="13">
        <v>-3019</v>
      </c>
      <c r="AG21" s="13">
        <v>-14241</v>
      </c>
      <c r="AH21" s="13">
        <v>-18215</v>
      </c>
      <c r="AI21" s="13">
        <v>-17230</v>
      </c>
      <c r="AJ21" s="13">
        <v>-35445</v>
      </c>
      <c r="AK21" s="13">
        <v>-11375</v>
      </c>
      <c r="AL21" s="13">
        <v>-46820</v>
      </c>
      <c r="AM21" s="13">
        <v>-27170</v>
      </c>
      <c r="AN21" s="13">
        <v>-73990</v>
      </c>
      <c r="AO21" s="13">
        <v>-26380</v>
      </c>
      <c r="AP21" s="13">
        <v>10768</v>
      </c>
      <c r="AQ21" s="13">
        <v>-15612</v>
      </c>
      <c r="AR21" s="13">
        <v>-26698</v>
      </c>
      <c r="AS21" s="13">
        <v>-42310</v>
      </c>
      <c r="AT21" s="13">
        <v>-14438</v>
      </c>
      <c r="AU21" s="13">
        <v>-56748</v>
      </c>
      <c r="AV21" s="13">
        <v>-6004</v>
      </c>
      <c r="AW21" s="13">
        <v>25080</v>
      </c>
      <c r="AX21" s="13">
        <v>19076</v>
      </c>
      <c r="AY21" s="13">
        <v>54874</v>
      </c>
      <c r="AZ21" s="13">
        <v>73950</v>
      </c>
      <c r="BA21" s="13">
        <v>55385</v>
      </c>
      <c r="BB21" s="13">
        <v>129335</v>
      </c>
      <c r="BC21" s="13">
        <v>5891</v>
      </c>
      <c r="BD21" s="13">
        <v>-2548</v>
      </c>
      <c r="BE21" s="13">
        <v>3343</v>
      </c>
      <c r="BF21" s="13">
        <v>18673</v>
      </c>
      <c r="BG21" s="13">
        <v>22016</v>
      </c>
      <c r="BH21" s="13">
        <v>8726</v>
      </c>
      <c r="BI21" s="13">
        <f t="shared" si="0"/>
        <v>30742</v>
      </c>
      <c r="BJ21" s="13">
        <v>1153</v>
      </c>
      <c r="BK21" s="13">
        <f t="shared" si="5"/>
        <v>28434</v>
      </c>
      <c r="BL21" s="13">
        <f>1153+28434</f>
        <v>29587</v>
      </c>
      <c r="BM21" s="13">
        <f t="shared" si="6"/>
        <v>4383</v>
      </c>
      <c r="BN21" s="13">
        <f>1153+28434+4383</f>
        <v>33970</v>
      </c>
      <c r="BO21" s="13">
        <f t="shared" si="7"/>
        <v>-5992</v>
      </c>
      <c r="BP21" s="13">
        <v>27978</v>
      </c>
      <c r="BQ21" s="13">
        <v>-23904</v>
      </c>
      <c r="BR21" s="13">
        <f t="shared" si="8"/>
        <v>-11474</v>
      </c>
      <c r="BS21" s="13">
        <v>-35378</v>
      </c>
      <c r="BT21" s="13">
        <f t="shared" si="9"/>
        <v>-20771</v>
      </c>
      <c r="BU21" s="13">
        <v>-56149</v>
      </c>
      <c r="BV21" s="13">
        <f t="shared" si="10"/>
        <v>-47728</v>
      </c>
      <c r="BW21" s="13">
        <v>-103877</v>
      </c>
      <c r="BX21" s="13">
        <v>4598</v>
      </c>
      <c r="BY21" s="13">
        <f t="shared" si="11"/>
        <v>97</v>
      </c>
      <c r="BZ21" s="13">
        <v>4695</v>
      </c>
      <c r="CA21" s="13">
        <f t="shared" si="12"/>
        <v>-10487</v>
      </c>
      <c r="CB21" s="13">
        <v>-5792</v>
      </c>
      <c r="CC21" s="13">
        <f t="shared" si="13"/>
        <v>-11879</v>
      </c>
      <c r="CD21" s="13">
        <v>-17671</v>
      </c>
      <c r="CE21" s="13">
        <v>10803</v>
      </c>
      <c r="CF21" s="13">
        <f t="shared" si="14"/>
        <v>-17795</v>
      </c>
      <c r="CG21" s="13">
        <v>-6992</v>
      </c>
      <c r="CH21" s="13">
        <f t="shared" si="15"/>
        <v>5481</v>
      </c>
      <c r="CI21" s="13">
        <v>-1511</v>
      </c>
      <c r="CJ21" s="13">
        <f t="shared" si="16"/>
        <v>17527</v>
      </c>
      <c r="CK21" s="13">
        <v>16016</v>
      </c>
    </row>
    <row r="22" spans="1:89" s="21" customFormat="1" ht="11.25">
      <c r="A22" s="4" t="s">
        <v>21</v>
      </c>
      <c r="B22" s="8" t="s">
        <v>80</v>
      </c>
      <c r="C22" s="8"/>
      <c r="D22" s="8"/>
      <c r="E22" s="40"/>
      <c r="F22" s="14">
        <v>490463</v>
      </c>
      <c r="G22" s="14">
        <f t="shared" si="1"/>
        <v>500537</v>
      </c>
      <c r="H22" s="14">
        <v>991000</v>
      </c>
      <c r="I22" s="14">
        <f t="shared" si="2"/>
        <v>486016</v>
      </c>
      <c r="J22" s="14">
        <v>1477016</v>
      </c>
      <c r="K22" s="14">
        <f t="shared" si="3"/>
        <v>503641</v>
      </c>
      <c r="L22" s="14">
        <v>1980657</v>
      </c>
      <c r="M22" s="14">
        <v>489631</v>
      </c>
      <c r="N22" s="14">
        <v>532407</v>
      </c>
      <c r="O22" s="14">
        <v>1022038</v>
      </c>
      <c r="P22" s="14">
        <v>486387</v>
      </c>
      <c r="Q22" s="14">
        <v>1508425</v>
      </c>
      <c r="R22" s="14">
        <v>504615</v>
      </c>
      <c r="S22" s="14">
        <v>2013040</v>
      </c>
      <c r="T22" s="14">
        <v>539605</v>
      </c>
      <c r="U22" s="14">
        <v>518066</v>
      </c>
      <c r="V22" s="14">
        <v>1057671</v>
      </c>
      <c r="W22" s="14">
        <v>500698</v>
      </c>
      <c r="X22" s="14">
        <v>1558369</v>
      </c>
      <c r="Y22" s="14">
        <v>759702</v>
      </c>
      <c r="Z22" s="14">
        <v>2318071</v>
      </c>
      <c r="AA22" s="14">
        <v>565144</v>
      </c>
      <c r="AB22" s="14">
        <f t="shared" si="4"/>
        <v>566673</v>
      </c>
      <c r="AC22" s="14">
        <v>1131817</v>
      </c>
      <c r="AD22" s="14">
        <v>509490</v>
      </c>
      <c r="AE22" s="14">
        <v>1641307</v>
      </c>
      <c r="AF22" s="14">
        <v>528223</v>
      </c>
      <c r="AG22" s="14">
        <v>2169530</v>
      </c>
      <c r="AH22" s="14">
        <v>497635</v>
      </c>
      <c r="AI22" s="14">
        <v>592227</v>
      </c>
      <c r="AJ22" s="14">
        <v>1089862</v>
      </c>
      <c r="AK22" s="14">
        <v>515696</v>
      </c>
      <c r="AL22" s="14">
        <v>1605558</v>
      </c>
      <c r="AM22" s="14">
        <v>545884</v>
      </c>
      <c r="AN22" s="14">
        <v>2151442</v>
      </c>
      <c r="AO22" s="14">
        <v>566644</v>
      </c>
      <c r="AP22" s="14">
        <v>517411</v>
      </c>
      <c r="AQ22" s="14">
        <v>1084055</v>
      </c>
      <c r="AR22" s="14">
        <v>528760</v>
      </c>
      <c r="AS22" s="14">
        <v>1612815</v>
      </c>
      <c r="AT22" s="14">
        <v>542043</v>
      </c>
      <c r="AU22" s="14">
        <v>2154858</v>
      </c>
      <c r="AV22" s="14">
        <v>513612</v>
      </c>
      <c r="AW22" s="14">
        <v>526754</v>
      </c>
      <c r="AX22" s="14">
        <v>1040366</v>
      </c>
      <c r="AY22" s="14">
        <v>507981</v>
      </c>
      <c r="AZ22" s="14">
        <v>1548347</v>
      </c>
      <c r="BA22" s="14">
        <v>552457</v>
      </c>
      <c r="BB22" s="14">
        <v>2100804</v>
      </c>
      <c r="BC22" s="14">
        <f>SUM(BC13:BC16)+SUM(BC21)+SUM(BC9)+SUM(BC12)</f>
        <v>515817</v>
      </c>
      <c r="BD22" s="14">
        <f>SUM(BD13:BD16)+SUM(BD21)+SUM(BD9)+SUM(BD12)</f>
        <v>497391</v>
      </c>
      <c r="BE22" s="14">
        <v>1013208</v>
      </c>
      <c r="BF22" s="14">
        <f>SUM(BF13:BF16)+SUM(BF21)+SUM(BF9)+SUM(BF12)</f>
        <v>522124</v>
      </c>
      <c r="BG22" s="14">
        <v>1535332</v>
      </c>
      <c r="BH22" s="14">
        <f>SUM(BH13:BH16)+SUM(BH21)+SUM(BH9)+SUM(BH12)</f>
        <v>496982</v>
      </c>
      <c r="BI22" s="14">
        <f t="shared" si="0"/>
        <v>2032314</v>
      </c>
      <c r="BJ22" s="14">
        <f>+BJ12+BJ9+BJ13+BJ14+BJ15+BJ16+BJ21</f>
        <v>500965</v>
      </c>
      <c r="BK22" s="14">
        <f t="shared" si="5"/>
        <v>584956</v>
      </c>
      <c r="BL22" s="14">
        <f>+BL12+BL9+BL13+BL14+BL15+BL16+BL21</f>
        <v>1085921</v>
      </c>
      <c r="BM22" s="14">
        <f t="shared" si="6"/>
        <v>544359</v>
      </c>
      <c r="BN22" s="14">
        <f>+BN12+BN9+BN13+BN14+BN15+BN16+BN21</f>
        <v>1630280</v>
      </c>
      <c r="BO22" s="14">
        <f t="shared" si="7"/>
        <v>526602</v>
      </c>
      <c r="BP22" s="14">
        <f>+BP12+BP9+BP13+BP14+BP15+BP16+BP21</f>
        <v>2156882</v>
      </c>
      <c r="BQ22" s="14">
        <v>445913</v>
      </c>
      <c r="BR22" s="14">
        <f t="shared" si="8"/>
        <v>474180</v>
      </c>
      <c r="BS22" s="14">
        <v>920093</v>
      </c>
      <c r="BT22" s="14">
        <f t="shared" si="9"/>
        <v>479959</v>
      </c>
      <c r="BU22" s="14">
        <f>SUM(BU13:BU16)+SUM(BU21)+SUM(BU9)+SUM(BU12)</f>
        <v>1400052</v>
      </c>
      <c r="BV22" s="14">
        <f t="shared" si="10"/>
        <v>482969</v>
      </c>
      <c r="BW22" s="14">
        <v>1883021</v>
      </c>
      <c r="BX22" s="14">
        <v>483914</v>
      </c>
      <c r="BY22" s="14">
        <f t="shared" si="11"/>
        <v>467300</v>
      </c>
      <c r="BZ22" s="14">
        <v>951214</v>
      </c>
      <c r="CA22" s="14">
        <f t="shared" si="12"/>
        <v>460237</v>
      </c>
      <c r="CB22" s="14">
        <v>1411451</v>
      </c>
      <c r="CC22" s="14">
        <f t="shared" si="13"/>
        <v>487029</v>
      </c>
      <c r="CD22" s="14">
        <v>1898480</v>
      </c>
      <c r="CE22" s="14">
        <v>422714</v>
      </c>
      <c r="CF22" s="14">
        <f t="shared" si="14"/>
        <v>448122</v>
      </c>
      <c r="CG22" s="14">
        <v>870836</v>
      </c>
      <c r="CH22" s="14">
        <f t="shared" si="15"/>
        <v>411761</v>
      </c>
      <c r="CI22" s="14">
        <v>1282597</v>
      </c>
      <c r="CJ22" s="14">
        <f t="shared" si="16"/>
        <v>485772</v>
      </c>
      <c r="CK22" s="14">
        <v>1768369</v>
      </c>
    </row>
    <row r="23" spans="1:89" s="21" customFormat="1" ht="12.75" customHeight="1">
      <c r="A23" s="4" t="s">
        <v>23</v>
      </c>
      <c r="B23" s="5" t="s">
        <v>81</v>
      </c>
      <c r="C23" s="8"/>
      <c r="D23" s="8"/>
      <c r="E23" s="40"/>
      <c r="F23" s="13">
        <v>-146307</v>
      </c>
      <c r="G23" s="13">
        <f t="shared" si="1"/>
        <v>-242108</v>
      </c>
      <c r="H23" s="13">
        <v>-388415</v>
      </c>
      <c r="I23" s="13">
        <f t="shared" si="2"/>
        <v>-112659</v>
      </c>
      <c r="J23" s="13">
        <v>-501074</v>
      </c>
      <c r="K23" s="13">
        <f t="shared" si="3"/>
        <v>-154842</v>
      </c>
      <c r="L23" s="13">
        <v>-655916</v>
      </c>
      <c r="M23" s="13">
        <v>-121511</v>
      </c>
      <c r="N23" s="13">
        <v>-150571</v>
      </c>
      <c r="O23" s="13">
        <v>-272082</v>
      </c>
      <c r="P23" s="13">
        <v>-126429</v>
      </c>
      <c r="Q23" s="13">
        <v>-398511</v>
      </c>
      <c r="R23" s="13">
        <v>-260553</v>
      </c>
      <c r="S23" s="13">
        <v>-659064</v>
      </c>
      <c r="T23" s="13">
        <v>-149972</v>
      </c>
      <c r="U23" s="13">
        <v>-157786</v>
      </c>
      <c r="V23" s="13">
        <v>-307758</v>
      </c>
      <c r="W23" s="13">
        <v>-135067</v>
      </c>
      <c r="X23" s="13">
        <v>-442825</v>
      </c>
      <c r="Y23" s="13">
        <v>-294975</v>
      </c>
      <c r="Z23" s="13">
        <v>-737800</v>
      </c>
      <c r="AA23" s="13">
        <v>-214710</v>
      </c>
      <c r="AB23" s="13">
        <f t="shared" si="4"/>
        <v>-208775</v>
      </c>
      <c r="AC23" s="13">
        <v>-423485</v>
      </c>
      <c r="AD23" s="13">
        <v>-167091</v>
      </c>
      <c r="AE23" s="13">
        <v>-590576</v>
      </c>
      <c r="AF23" s="13">
        <v>-267643</v>
      </c>
      <c r="AG23" s="13">
        <v>-858219</v>
      </c>
      <c r="AH23" s="13">
        <v>-167766</v>
      </c>
      <c r="AI23" s="13">
        <v>-300049</v>
      </c>
      <c r="AJ23" s="13">
        <v>-467815</v>
      </c>
      <c r="AK23" s="13">
        <v>-155291</v>
      </c>
      <c r="AL23" s="13">
        <v>-623106</v>
      </c>
      <c r="AM23" s="13">
        <v>-253441</v>
      </c>
      <c r="AN23" s="13">
        <v>-876547</v>
      </c>
      <c r="AO23" s="13">
        <v>-99622</v>
      </c>
      <c r="AP23" s="13">
        <v>-195405</v>
      </c>
      <c r="AQ23" s="13">
        <v>-295027</v>
      </c>
      <c r="AR23" s="13">
        <v>-128627</v>
      </c>
      <c r="AS23" s="13">
        <v>-423654</v>
      </c>
      <c r="AT23" s="13">
        <v>-548270</v>
      </c>
      <c r="AU23" s="13">
        <v>-971924</v>
      </c>
      <c r="AV23" s="13">
        <v>-74767</v>
      </c>
      <c r="AW23" s="13">
        <v>-106158</v>
      </c>
      <c r="AX23" s="13">
        <v>-180925</v>
      </c>
      <c r="AY23" s="13">
        <v>-86284</v>
      </c>
      <c r="AZ23" s="13">
        <v>-267209</v>
      </c>
      <c r="BA23" s="13">
        <v>-82923</v>
      </c>
      <c r="BB23" s="13">
        <v>-350132</v>
      </c>
      <c r="BC23" s="13">
        <f>SUM(BC24:BC27)</f>
        <v>-106276</v>
      </c>
      <c r="BD23" s="13">
        <f>SUM(BD24:BD27)</f>
        <v>-94218</v>
      </c>
      <c r="BE23" s="13">
        <v>-200494</v>
      </c>
      <c r="BF23" s="13">
        <f>SUM(BF24:BF27)</f>
        <v>-73715</v>
      </c>
      <c r="BG23" s="13">
        <v>-274209</v>
      </c>
      <c r="BH23" s="13">
        <f>SUM(BH24:BH27)</f>
        <v>-123575</v>
      </c>
      <c r="BI23" s="13">
        <f t="shared" si="0"/>
        <v>-397784</v>
      </c>
      <c r="BJ23" s="13">
        <f>+BJ25+BJ24+BJ26+BJ27</f>
        <v>-104482</v>
      </c>
      <c r="BK23" s="13">
        <f t="shared" si="5"/>
        <v>-214024</v>
      </c>
      <c r="BL23" s="13">
        <f>+BL25+BL24+BL26+BL27</f>
        <v>-318506</v>
      </c>
      <c r="BM23" s="13">
        <f t="shared" si="6"/>
        <v>-103799</v>
      </c>
      <c r="BN23" s="13">
        <f>+BN25+BN24+BN26+BN27</f>
        <v>-422305</v>
      </c>
      <c r="BO23" s="13">
        <f t="shared" si="7"/>
        <v>-182676</v>
      </c>
      <c r="BP23" s="13">
        <f>+BP25+BP24+BP26+BP27</f>
        <v>-604981</v>
      </c>
      <c r="BQ23" s="13">
        <v>-37442</v>
      </c>
      <c r="BR23" s="13">
        <f t="shared" si="8"/>
        <v>-61509</v>
      </c>
      <c r="BS23" s="13">
        <f>SUM(BS24:BS27)</f>
        <v>-98951</v>
      </c>
      <c r="BT23" s="13">
        <f t="shared" si="9"/>
        <v>-61800</v>
      </c>
      <c r="BU23" s="13">
        <f>+BU24+BU25+BU26+BU27</f>
        <v>-160751</v>
      </c>
      <c r="BV23" s="13">
        <f t="shared" si="10"/>
        <v>-79069</v>
      </c>
      <c r="BW23" s="13">
        <v>-239820</v>
      </c>
      <c r="BX23" s="13">
        <v>-23448</v>
      </c>
      <c r="BY23" s="13">
        <f t="shared" si="11"/>
        <v>-41874</v>
      </c>
      <c r="BZ23" s="13">
        <v>-65322</v>
      </c>
      <c r="CA23" s="13">
        <f t="shared" si="12"/>
        <v>-35245</v>
      </c>
      <c r="CB23" s="13">
        <v>-100567</v>
      </c>
      <c r="CC23" s="13">
        <f t="shared" si="13"/>
        <v>-38169</v>
      </c>
      <c r="CD23" s="13">
        <v>-138736</v>
      </c>
      <c r="CE23" s="13">
        <v>-9890</v>
      </c>
      <c r="CF23" s="13">
        <f t="shared" si="14"/>
        <v>-37924</v>
      </c>
      <c r="CG23" s="13">
        <v>-47814</v>
      </c>
      <c r="CH23" s="13">
        <f t="shared" si="15"/>
        <v>-33732</v>
      </c>
      <c r="CI23" s="13">
        <v>-81546</v>
      </c>
      <c r="CJ23" s="13">
        <f t="shared" si="16"/>
        <v>-47655</v>
      </c>
      <c r="CK23" s="13">
        <v>-129201</v>
      </c>
    </row>
    <row r="24" spans="1:89" s="21" customFormat="1" ht="12.75" customHeight="1">
      <c r="A24" s="4"/>
      <c r="B24" s="5" t="s">
        <v>76</v>
      </c>
      <c r="C24" s="5"/>
      <c r="D24" s="5"/>
      <c r="E24" s="5"/>
      <c r="F24" s="13">
        <v>-133573</v>
      </c>
      <c r="G24" s="13">
        <f t="shared" si="1"/>
        <v>-189659</v>
      </c>
      <c r="H24" s="13">
        <v>-323232</v>
      </c>
      <c r="I24" s="13">
        <f t="shared" si="2"/>
        <v>-89722</v>
      </c>
      <c r="J24" s="13">
        <v>-412954</v>
      </c>
      <c r="K24" s="13">
        <f t="shared" si="3"/>
        <v>-123021</v>
      </c>
      <c r="L24" s="13">
        <v>-535975</v>
      </c>
      <c r="M24" s="13">
        <v>-114167</v>
      </c>
      <c r="N24" s="13">
        <v>-161935</v>
      </c>
      <c r="O24" s="13">
        <v>-276102</v>
      </c>
      <c r="P24" s="13">
        <v>-124578</v>
      </c>
      <c r="Q24" s="13">
        <v>-400680</v>
      </c>
      <c r="R24" s="13">
        <v>-219070</v>
      </c>
      <c r="S24" s="13">
        <v>-619750</v>
      </c>
      <c r="T24" s="13">
        <v>-147504</v>
      </c>
      <c r="U24" s="13">
        <v>-150237</v>
      </c>
      <c r="V24" s="13">
        <v>-297741</v>
      </c>
      <c r="W24" s="13">
        <v>-127156</v>
      </c>
      <c r="X24" s="13">
        <v>-424897</v>
      </c>
      <c r="Y24" s="13">
        <v>-280902</v>
      </c>
      <c r="Z24" s="13">
        <v>-705799</v>
      </c>
      <c r="AA24" s="13">
        <v>-211820</v>
      </c>
      <c r="AB24" s="13">
        <f t="shared" si="4"/>
        <v>-204972</v>
      </c>
      <c r="AC24" s="13">
        <v>-416792</v>
      </c>
      <c r="AD24" s="13">
        <v>-163296</v>
      </c>
      <c r="AE24" s="13">
        <v>-580088</v>
      </c>
      <c r="AF24" s="13">
        <v>-232646</v>
      </c>
      <c r="AG24" s="13">
        <v>-812734</v>
      </c>
      <c r="AH24" s="13">
        <v>-161628</v>
      </c>
      <c r="AI24" s="13">
        <v>-278131</v>
      </c>
      <c r="AJ24" s="13">
        <v>-439759</v>
      </c>
      <c r="AK24" s="13">
        <v>-151624</v>
      </c>
      <c r="AL24" s="13">
        <v>-591383</v>
      </c>
      <c r="AM24" s="13">
        <v>-190202</v>
      </c>
      <c r="AN24" s="13">
        <v>-781585</v>
      </c>
      <c r="AO24" s="13">
        <v>-98725</v>
      </c>
      <c r="AP24" s="13">
        <v>-190883</v>
      </c>
      <c r="AQ24" s="13">
        <v>-289608</v>
      </c>
      <c r="AR24" s="13">
        <v>-130370</v>
      </c>
      <c r="AS24" s="13">
        <v>-419978</v>
      </c>
      <c r="AT24" s="13">
        <v>-538415</v>
      </c>
      <c r="AU24" s="13">
        <v>-958393</v>
      </c>
      <c r="AV24" s="13">
        <v>-75088</v>
      </c>
      <c r="AW24" s="13">
        <v>-100631</v>
      </c>
      <c r="AX24" s="13">
        <v>-175719</v>
      </c>
      <c r="AY24" s="13">
        <v>-84068</v>
      </c>
      <c r="AZ24" s="13">
        <v>-259787</v>
      </c>
      <c r="BA24" s="13">
        <v>-84268</v>
      </c>
      <c r="BB24" s="13">
        <v>-344055</v>
      </c>
      <c r="BC24" s="13">
        <v>-103885</v>
      </c>
      <c r="BD24" s="13">
        <v>-89037</v>
      </c>
      <c r="BE24" s="13">
        <v>-192922</v>
      </c>
      <c r="BF24" s="13">
        <v>-70178</v>
      </c>
      <c r="BG24" s="13">
        <v>-263100</v>
      </c>
      <c r="BH24" s="13">
        <v>-114839</v>
      </c>
      <c r="BI24" s="13">
        <f t="shared" si="0"/>
        <v>-377939</v>
      </c>
      <c r="BJ24" s="13">
        <v>-102077</v>
      </c>
      <c r="BK24" s="13">
        <f t="shared" si="5"/>
        <v>-207305</v>
      </c>
      <c r="BL24" s="13">
        <f>-102077-207305</f>
        <v>-309382</v>
      </c>
      <c r="BM24" s="13">
        <f t="shared" si="6"/>
        <v>-96879</v>
      </c>
      <c r="BN24" s="13">
        <f>-102077-207305-96879</f>
        <v>-406261</v>
      </c>
      <c r="BO24" s="13">
        <f t="shared" si="7"/>
        <v>-175115</v>
      </c>
      <c r="BP24" s="13">
        <v>-581376</v>
      </c>
      <c r="BQ24" s="13">
        <v>-36107</v>
      </c>
      <c r="BR24" s="13">
        <f t="shared" si="8"/>
        <v>-60432</v>
      </c>
      <c r="BS24" s="13">
        <v>-96539</v>
      </c>
      <c r="BT24" s="13">
        <f t="shared" si="9"/>
        <v>-50978</v>
      </c>
      <c r="BU24" s="13">
        <v>-147517</v>
      </c>
      <c r="BV24" s="13">
        <f t="shared" si="10"/>
        <v>-56797</v>
      </c>
      <c r="BW24" s="13">
        <v>-204314</v>
      </c>
      <c r="BX24" s="13">
        <v>-23515</v>
      </c>
      <c r="BY24" s="13">
        <f t="shared" si="11"/>
        <v>-40861</v>
      </c>
      <c r="BZ24" s="13">
        <v>-64376</v>
      </c>
      <c r="CA24" s="13">
        <f t="shared" si="12"/>
        <v>-33810</v>
      </c>
      <c r="CB24" s="13">
        <v>-98186</v>
      </c>
      <c r="CC24" s="13">
        <f t="shared" si="13"/>
        <v>-42633</v>
      </c>
      <c r="CD24" s="13">
        <v>-140819</v>
      </c>
      <c r="CE24" s="13">
        <v>-10099</v>
      </c>
      <c r="CF24" s="13">
        <f t="shared" si="14"/>
        <v>-37414</v>
      </c>
      <c r="CG24" s="13">
        <v>-47513</v>
      </c>
      <c r="CH24" s="13">
        <f t="shared" si="15"/>
        <v>-33172</v>
      </c>
      <c r="CI24" s="13">
        <v>-80685</v>
      </c>
      <c r="CJ24" s="13">
        <f t="shared" si="16"/>
        <v>-48687</v>
      </c>
      <c r="CK24" s="13">
        <v>-129372</v>
      </c>
    </row>
    <row r="25" spans="1:89" s="21" customFormat="1" ht="12.75" customHeight="1">
      <c r="A25" s="4"/>
      <c r="B25" s="5" t="s">
        <v>77</v>
      </c>
      <c r="C25" s="5"/>
      <c r="D25" s="5"/>
      <c r="E25" s="5"/>
      <c r="F25" s="13">
        <v>-17381</v>
      </c>
      <c r="G25" s="13">
        <f t="shared" si="1"/>
        <v>-54236</v>
      </c>
      <c r="H25" s="13">
        <v>-71617</v>
      </c>
      <c r="I25" s="13">
        <f t="shared" si="2"/>
        <v>-29383</v>
      </c>
      <c r="J25" s="13">
        <v>-101000</v>
      </c>
      <c r="K25" s="13">
        <f t="shared" si="3"/>
        <v>-3628</v>
      </c>
      <c r="L25" s="13">
        <v>-104628</v>
      </c>
      <c r="M25" s="13">
        <v>-3678</v>
      </c>
      <c r="N25" s="13">
        <v>-3524</v>
      </c>
      <c r="O25" s="13">
        <v>-7202</v>
      </c>
      <c r="P25" s="13">
        <v>-4948</v>
      </c>
      <c r="Q25" s="13">
        <v>-12150</v>
      </c>
      <c r="R25" s="13">
        <v>-39661</v>
      </c>
      <c r="S25" s="13">
        <v>-51811</v>
      </c>
      <c r="T25" s="13">
        <v>-6347</v>
      </c>
      <c r="U25" s="13">
        <v>-2552</v>
      </c>
      <c r="V25" s="13">
        <v>-8899</v>
      </c>
      <c r="W25" s="13">
        <v>-7563</v>
      </c>
      <c r="X25" s="13">
        <v>-16462</v>
      </c>
      <c r="Y25" s="13">
        <v>-10881</v>
      </c>
      <c r="Z25" s="13">
        <v>-27343</v>
      </c>
      <c r="AA25" s="13">
        <v>-466</v>
      </c>
      <c r="AB25" s="13">
        <f t="shared" si="4"/>
        <v>-3189</v>
      </c>
      <c r="AC25" s="13">
        <v>-3655</v>
      </c>
      <c r="AD25" s="13">
        <v>-680</v>
      </c>
      <c r="AE25" s="13">
        <v>-4335</v>
      </c>
      <c r="AF25" s="13">
        <v>-36012</v>
      </c>
      <c r="AG25" s="13">
        <v>-40347</v>
      </c>
      <c r="AH25" s="13">
        <v>-670</v>
      </c>
      <c r="AI25" s="13">
        <v>-2528</v>
      </c>
      <c r="AJ25" s="13">
        <v>-3198</v>
      </c>
      <c r="AK25" s="13">
        <v>-1423</v>
      </c>
      <c r="AL25" s="13">
        <v>-4621</v>
      </c>
      <c r="AM25" s="13">
        <v>-53812</v>
      </c>
      <c r="AN25" s="13">
        <v>-58433</v>
      </c>
      <c r="AO25" s="13">
        <v>-201</v>
      </c>
      <c r="AP25" s="13">
        <v>-4672</v>
      </c>
      <c r="AQ25" s="13">
        <v>-4873</v>
      </c>
      <c r="AR25" s="13">
        <v>45</v>
      </c>
      <c r="AS25" s="13">
        <v>-4828</v>
      </c>
      <c r="AT25" s="13">
        <v>-4011</v>
      </c>
      <c r="AU25" s="13">
        <v>-8839</v>
      </c>
      <c r="AV25" s="13">
        <v>-2</v>
      </c>
      <c r="AW25" s="13">
        <v>-1713</v>
      </c>
      <c r="AX25" s="13">
        <v>-1715</v>
      </c>
      <c r="AY25" s="13">
        <v>-568</v>
      </c>
      <c r="AZ25" s="13">
        <v>-2283</v>
      </c>
      <c r="BA25" s="13">
        <v>-4333</v>
      </c>
      <c r="BB25" s="13">
        <v>-6616</v>
      </c>
      <c r="BC25" s="13">
        <v>-975</v>
      </c>
      <c r="BD25" s="13">
        <v>-2672</v>
      </c>
      <c r="BE25" s="13">
        <v>-3647</v>
      </c>
      <c r="BF25" s="13">
        <v>-3574</v>
      </c>
      <c r="BG25" s="13">
        <v>-7221</v>
      </c>
      <c r="BH25" s="13">
        <v>-3064</v>
      </c>
      <c r="BI25" s="13">
        <f t="shared" si="0"/>
        <v>-10285</v>
      </c>
      <c r="BJ25" s="13">
        <v>-536</v>
      </c>
      <c r="BK25" s="13">
        <f t="shared" si="5"/>
        <v>-3570</v>
      </c>
      <c r="BL25" s="13">
        <f>-536-3570</f>
        <v>-4106</v>
      </c>
      <c r="BM25" s="13">
        <f t="shared" si="6"/>
        <v>-3448</v>
      </c>
      <c r="BN25" s="13">
        <f>-536-3570-3448</f>
        <v>-7554</v>
      </c>
      <c r="BO25" s="13">
        <f t="shared" si="7"/>
        <v>-5961</v>
      </c>
      <c r="BP25" s="13">
        <v>-13515</v>
      </c>
      <c r="BQ25" s="13">
        <v>0</v>
      </c>
      <c r="BR25" s="13">
        <f t="shared" si="8"/>
        <v>-7</v>
      </c>
      <c r="BS25" s="13">
        <v>-7</v>
      </c>
      <c r="BT25" s="13">
        <f t="shared" si="9"/>
        <v>-9400</v>
      </c>
      <c r="BU25" s="13">
        <v>-9407</v>
      </c>
      <c r="BV25" s="13">
        <f t="shared" si="10"/>
        <v>-21961</v>
      </c>
      <c r="BW25" s="13">
        <v>-31368</v>
      </c>
      <c r="BX25" s="13">
        <v>0</v>
      </c>
      <c r="BY25" s="13">
        <f t="shared" si="11"/>
        <v>-12</v>
      </c>
      <c r="BZ25" s="13">
        <v>-12</v>
      </c>
      <c r="CA25" s="13">
        <f t="shared" si="12"/>
        <v>0</v>
      </c>
      <c r="CB25" s="13">
        <v>-12</v>
      </c>
      <c r="CC25" s="13">
        <f t="shared" si="13"/>
        <v>-7</v>
      </c>
      <c r="CD25" s="13">
        <v>-19</v>
      </c>
      <c r="CE25" s="13">
        <v>0</v>
      </c>
      <c r="CF25" s="13">
        <f t="shared" si="14"/>
        <v>-71</v>
      </c>
      <c r="CG25" s="13">
        <v>-71</v>
      </c>
      <c r="CH25" s="13">
        <f t="shared" si="15"/>
        <v>-345</v>
      </c>
      <c r="CI25" s="13">
        <v>-416</v>
      </c>
      <c r="CJ25" s="13">
        <f t="shared" si="16"/>
        <v>359</v>
      </c>
      <c r="CK25" s="13">
        <v>-57</v>
      </c>
    </row>
    <row r="26" spans="1:89" s="21" customFormat="1" ht="12.75" customHeight="1">
      <c r="A26" s="4"/>
      <c r="B26" s="5" t="s">
        <v>125</v>
      </c>
      <c r="C26" s="5" t="s">
        <v>126</v>
      </c>
      <c r="D26" s="5"/>
      <c r="E26" s="5"/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13">
        <v>0</v>
      </c>
      <c r="V26" s="13">
        <v>0</v>
      </c>
      <c r="W26" s="13">
        <v>0</v>
      </c>
      <c r="X26" s="13">
        <v>0</v>
      </c>
      <c r="Y26" s="13">
        <v>0</v>
      </c>
      <c r="Z26" s="13">
        <v>0</v>
      </c>
      <c r="AA26" s="13">
        <v>0</v>
      </c>
      <c r="AB26" s="13">
        <f t="shared" si="4"/>
        <v>0</v>
      </c>
      <c r="AC26" s="13">
        <v>0</v>
      </c>
      <c r="AD26" s="13">
        <v>0</v>
      </c>
      <c r="AE26" s="13">
        <v>0</v>
      </c>
      <c r="AF26" s="13">
        <v>0</v>
      </c>
      <c r="AG26" s="13">
        <v>0</v>
      </c>
      <c r="AH26" s="13">
        <v>0</v>
      </c>
      <c r="AI26" s="13">
        <v>0</v>
      </c>
      <c r="AJ26" s="13">
        <v>0</v>
      </c>
      <c r="AK26" s="13">
        <v>0</v>
      </c>
      <c r="AL26" s="13">
        <v>0</v>
      </c>
      <c r="AM26" s="13">
        <v>0</v>
      </c>
      <c r="AN26" s="13">
        <v>0</v>
      </c>
      <c r="AO26" s="13">
        <v>0</v>
      </c>
      <c r="AP26" s="13">
        <v>0</v>
      </c>
      <c r="AQ26" s="13">
        <v>0</v>
      </c>
      <c r="AR26" s="13">
        <v>0</v>
      </c>
      <c r="AS26" s="13">
        <v>0</v>
      </c>
      <c r="AT26" s="13">
        <v>0</v>
      </c>
      <c r="AU26" s="13">
        <v>0</v>
      </c>
      <c r="AV26" s="13">
        <v>0</v>
      </c>
      <c r="AW26" s="13">
        <v>-1042</v>
      </c>
      <c r="AX26" s="13">
        <v>-1042</v>
      </c>
      <c r="AY26" s="13">
        <v>-1432</v>
      </c>
      <c r="AZ26" s="13">
        <v>-2474</v>
      </c>
      <c r="BA26" s="13">
        <v>-989</v>
      </c>
      <c r="BB26" s="13">
        <v>-3463</v>
      </c>
      <c r="BC26" s="13">
        <v>0</v>
      </c>
      <c r="BD26" s="13">
        <v>0</v>
      </c>
      <c r="BE26" s="13">
        <v>0</v>
      </c>
      <c r="BF26" s="13">
        <v>0</v>
      </c>
      <c r="BG26" s="13">
        <v>0</v>
      </c>
      <c r="BH26" s="13">
        <v>0</v>
      </c>
      <c r="BI26" s="13">
        <f>+BC26+BD26+BF26+BH26</f>
        <v>0</v>
      </c>
      <c r="BJ26" s="13">
        <v>0</v>
      </c>
      <c r="BK26" s="13">
        <f t="shared" si="5"/>
        <v>0</v>
      </c>
      <c r="BL26" s="13">
        <v>0</v>
      </c>
      <c r="BM26" s="13">
        <f t="shared" si="6"/>
        <v>0</v>
      </c>
      <c r="BN26" s="13">
        <v>0</v>
      </c>
      <c r="BO26" s="13">
        <f t="shared" si="7"/>
        <v>0</v>
      </c>
      <c r="BP26" s="13">
        <v>0</v>
      </c>
      <c r="BQ26" s="13">
        <v>0</v>
      </c>
      <c r="BR26" s="13">
        <f t="shared" si="8"/>
        <v>0</v>
      </c>
      <c r="BS26" s="13">
        <v>0</v>
      </c>
      <c r="BT26" s="13">
        <f t="shared" si="9"/>
        <v>0</v>
      </c>
      <c r="BU26" s="13">
        <v>0</v>
      </c>
      <c r="BV26" s="13">
        <f t="shared" si="10"/>
        <v>0</v>
      </c>
      <c r="BW26" s="13">
        <v>0</v>
      </c>
      <c r="BX26" s="13">
        <v>0</v>
      </c>
      <c r="BY26" s="13">
        <f t="shared" si="11"/>
        <v>0</v>
      </c>
      <c r="BZ26" s="13">
        <v>0</v>
      </c>
      <c r="CA26" s="13">
        <f t="shared" si="12"/>
        <v>0</v>
      </c>
      <c r="CB26" s="13">
        <v>0</v>
      </c>
      <c r="CC26" s="13">
        <f t="shared" si="13"/>
        <v>0</v>
      </c>
      <c r="CD26" s="13">
        <v>0</v>
      </c>
      <c r="CE26" s="13">
        <v>0</v>
      </c>
      <c r="CF26" s="13">
        <f t="shared" si="14"/>
        <v>0</v>
      </c>
      <c r="CG26" s="13">
        <v>0</v>
      </c>
      <c r="CH26" s="13">
        <f t="shared" si="15"/>
        <v>0</v>
      </c>
      <c r="CI26" s="13">
        <v>0</v>
      </c>
      <c r="CJ26" s="13">
        <f t="shared" si="16"/>
        <v>0</v>
      </c>
      <c r="CK26" s="13">
        <v>0</v>
      </c>
    </row>
    <row r="27" spans="1:89" s="21" customFormat="1" ht="12.75" customHeight="1">
      <c r="A27" s="4"/>
      <c r="B27" s="5" t="s">
        <v>129</v>
      </c>
      <c r="C27" s="5"/>
      <c r="D27" s="5"/>
      <c r="E27" s="5"/>
      <c r="F27" s="13">
        <v>4647</v>
      </c>
      <c r="G27" s="13">
        <f t="shared" si="1"/>
        <v>1787</v>
      </c>
      <c r="H27" s="13">
        <v>6434</v>
      </c>
      <c r="I27" s="13">
        <f t="shared" si="2"/>
        <v>6446</v>
      </c>
      <c r="J27" s="13">
        <v>12880</v>
      </c>
      <c r="K27" s="13">
        <f t="shared" si="3"/>
        <v>-28193</v>
      </c>
      <c r="L27" s="13">
        <v>-15313</v>
      </c>
      <c r="M27" s="13">
        <v>-3666</v>
      </c>
      <c r="N27" s="13">
        <v>14888</v>
      </c>
      <c r="O27" s="13">
        <v>11222</v>
      </c>
      <c r="P27" s="13">
        <v>3097</v>
      </c>
      <c r="Q27" s="13">
        <v>14319</v>
      </c>
      <c r="R27" s="13">
        <v>-1822</v>
      </c>
      <c r="S27" s="13">
        <v>12497</v>
      </c>
      <c r="T27" s="13">
        <v>3879</v>
      </c>
      <c r="U27" s="13">
        <v>-4997</v>
      </c>
      <c r="V27" s="13">
        <v>-1118</v>
      </c>
      <c r="W27" s="13">
        <v>-348</v>
      </c>
      <c r="X27" s="13">
        <v>-1466</v>
      </c>
      <c r="Y27" s="13">
        <v>-3192</v>
      </c>
      <c r="Z27" s="13">
        <v>-4658</v>
      </c>
      <c r="AA27" s="13">
        <v>-2424</v>
      </c>
      <c r="AB27" s="13">
        <f t="shared" si="4"/>
        <v>-614</v>
      </c>
      <c r="AC27" s="13">
        <v>-3038</v>
      </c>
      <c r="AD27" s="13">
        <v>-3115</v>
      </c>
      <c r="AE27" s="13">
        <v>-6153</v>
      </c>
      <c r="AF27" s="13">
        <v>1015</v>
      </c>
      <c r="AG27" s="13">
        <v>-5138</v>
      </c>
      <c r="AH27" s="13">
        <v>-5468</v>
      </c>
      <c r="AI27" s="13">
        <v>-19390</v>
      </c>
      <c r="AJ27" s="13">
        <v>-24858</v>
      </c>
      <c r="AK27" s="13">
        <v>-2244</v>
      </c>
      <c r="AL27" s="13">
        <v>-27102</v>
      </c>
      <c r="AM27" s="13">
        <v>-9427</v>
      </c>
      <c r="AN27" s="13">
        <v>-36529</v>
      </c>
      <c r="AO27" s="13">
        <v>-696</v>
      </c>
      <c r="AP27" s="13">
        <v>150</v>
      </c>
      <c r="AQ27" s="13">
        <v>-546</v>
      </c>
      <c r="AR27" s="13">
        <v>1698</v>
      </c>
      <c r="AS27" s="13">
        <v>1152</v>
      </c>
      <c r="AT27" s="13">
        <v>-5844</v>
      </c>
      <c r="AU27" s="13">
        <v>-4692</v>
      </c>
      <c r="AV27" s="13">
        <v>323</v>
      </c>
      <c r="AW27" s="13">
        <v>-2772</v>
      </c>
      <c r="AX27" s="13">
        <v>-2449</v>
      </c>
      <c r="AY27" s="13">
        <v>-216</v>
      </c>
      <c r="AZ27" s="13">
        <v>-2665</v>
      </c>
      <c r="BA27" s="13">
        <v>6667</v>
      </c>
      <c r="BB27" s="13">
        <v>4002</v>
      </c>
      <c r="BC27" s="13">
        <v>-1416</v>
      </c>
      <c r="BD27" s="13">
        <v>-2509</v>
      </c>
      <c r="BE27" s="13">
        <v>-3925</v>
      </c>
      <c r="BF27" s="13">
        <v>37</v>
      </c>
      <c r="BG27" s="13">
        <v>-3888</v>
      </c>
      <c r="BH27" s="13">
        <v>-5672</v>
      </c>
      <c r="BI27" s="13">
        <f t="shared" si="0"/>
        <v>-9560</v>
      </c>
      <c r="BJ27" s="13">
        <v>-1869</v>
      </c>
      <c r="BK27" s="13">
        <f t="shared" si="5"/>
        <v>-3149</v>
      </c>
      <c r="BL27" s="13">
        <f>-1869-3149</f>
        <v>-5018</v>
      </c>
      <c r="BM27" s="13">
        <f t="shared" si="6"/>
        <v>-3472</v>
      </c>
      <c r="BN27" s="13">
        <f>-1869-3149-3472</f>
        <v>-8490</v>
      </c>
      <c r="BO27" s="13">
        <f t="shared" si="7"/>
        <v>-1600</v>
      </c>
      <c r="BP27" s="13">
        <v>-10090</v>
      </c>
      <c r="BQ27" s="13">
        <v>-1335</v>
      </c>
      <c r="BR27" s="13">
        <f t="shared" si="8"/>
        <v>-1070</v>
      </c>
      <c r="BS27" s="13">
        <v>-2405</v>
      </c>
      <c r="BT27" s="13">
        <f t="shared" si="9"/>
        <v>-1422</v>
      </c>
      <c r="BU27" s="13">
        <v>-3827</v>
      </c>
      <c r="BV27" s="13">
        <f t="shared" si="10"/>
        <v>-311</v>
      </c>
      <c r="BW27" s="13">
        <v>-4138</v>
      </c>
      <c r="BX27" s="13">
        <v>67</v>
      </c>
      <c r="BY27" s="13">
        <f t="shared" si="11"/>
        <v>-1001</v>
      </c>
      <c r="BZ27" s="13">
        <v>-934</v>
      </c>
      <c r="CA27" s="13">
        <f t="shared" si="12"/>
        <v>-1435</v>
      </c>
      <c r="CB27" s="13">
        <v>-2369</v>
      </c>
      <c r="CC27" s="13">
        <f t="shared" si="13"/>
        <v>4471</v>
      </c>
      <c r="CD27" s="13">
        <v>2102</v>
      </c>
      <c r="CE27" s="13">
        <v>209</v>
      </c>
      <c r="CF27" s="13">
        <f t="shared" si="14"/>
        <v>-439</v>
      </c>
      <c r="CG27" s="13">
        <v>-230</v>
      </c>
      <c r="CH27" s="13">
        <f t="shared" si="15"/>
        <v>-215</v>
      </c>
      <c r="CI27" s="13">
        <v>-445</v>
      </c>
      <c r="CJ27" s="13">
        <f t="shared" si="16"/>
        <v>673</v>
      </c>
      <c r="CK27" s="13">
        <v>228</v>
      </c>
    </row>
    <row r="28" spans="1:89" s="21" customFormat="1" ht="12.75" customHeight="1">
      <c r="A28" s="4" t="s">
        <v>25</v>
      </c>
      <c r="B28" s="8" t="s">
        <v>83</v>
      </c>
      <c r="C28" s="8"/>
      <c r="D28" s="8"/>
      <c r="E28" s="40"/>
      <c r="F28" s="14">
        <v>344156</v>
      </c>
      <c r="G28" s="14">
        <f t="shared" si="1"/>
        <v>258429</v>
      </c>
      <c r="H28" s="14">
        <v>602585</v>
      </c>
      <c r="I28" s="14">
        <f t="shared" si="2"/>
        <v>373357</v>
      </c>
      <c r="J28" s="14">
        <v>975942</v>
      </c>
      <c r="K28" s="14">
        <f t="shared" si="3"/>
        <v>348799</v>
      </c>
      <c r="L28" s="14">
        <v>1324741</v>
      </c>
      <c r="M28" s="14">
        <v>368120</v>
      </c>
      <c r="N28" s="14">
        <v>381836</v>
      </c>
      <c r="O28" s="14">
        <v>749956</v>
      </c>
      <c r="P28" s="14">
        <v>359958</v>
      </c>
      <c r="Q28" s="14">
        <v>1109914</v>
      </c>
      <c r="R28" s="14">
        <v>244062</v>
      </c>
      <c r="S28" s="14">
        <v>1353976</v>
      </c>
      <c r="T28" s="14">
        <v>389633</v>
      </c>
      <c r="U28" s="14">
        <v>360280</v>
      </c>
      <c r="V28" s="14">
        <v>749913</v>
      </c>
      <c r="W28" s="14">
        <v>365631</v>
      </c>
      <c r="X28" s="14">
        <v>1115544</v>
      </c>
      <c r="Y28" s="14">
        <v>464727</v>
      </c>
      <c r="Z28" s="14">
        <v>1580271</v>
      </c>
      <c r="AA28" s="14">
        <v>350434</v>
      </c>
      <c r="AB28" s="14">
        <f t="shared" si="4"/>
        <v>357898</v>
      </c>
      <c r="AC28" s="14">
        <v>708332</v>
      </c>
      <c r="AD28" s="14">
        <v>342399</v>
      </c>
      <c r="AE28" s="14">
        <v>1050731</v>
      </c>
      <c r="AF28" s="14">
        <v>260580</v>
      </c>
      <c r="AG28" s="14">
        <v>1311311</v>
      </c>
      <c r="AH28" s="14">
        <v>329869</v>
      </c>
      <c r="AI28" s="14">
        <v>292178</v>
      </c>
      <c r="AJ28" s="14">
        <v>622047</v>
      </c>
      <c r="AK28" s="14">
        <v>360405</v>
      </c>
      <c r="AL28" s="14">
        <v>982452</v>
      </c>
      <c r="AM28" s="14">
        <v>292443</v>
      </c>
      <c r="AN28" s="14">
        <v>1274895</v>
      </c>
      <c r="AO28" s="14">
        <v>467022</v>
      </c>
      <c r="AP28" s="14">
        <v>322006</v>
      </c>
      <c r="AQ28" s="14">
        <v>789028</v>
      </c>
      <c r="AR28" s="14">
        <v>400133</v>
      </c>
      <c r="AS28" s="14">
        <v>1189161</v>
      </c>
      <c r="AT28" s="14">
        <v>-6227</v>
      </c>
      <c r="AU28" s="14">
        <v>1182934</v>
      </c>
      <c r="AV28" s="14">
        <v>438845</v>
      </c>
      <c r="AW28" s="14">
        <v>420596</v>
      </c>
      <c r="AX28" s="14">
        <v>859441</v>
      </c>
      <c r="AY28" s="14">
        <v>421697</v>
      </c>
      <c r="AZ28" s="14">
        <v>1281138</v>
      </c>
      <c r="BA28" s="14">
        <v>469534</v>
      </c>
      <c r="BB28" s="14">
        <v>1750672</v>
      </c>
      <c r="BC28" s="14">
        <f>SUM(BC22:BC23)</f>
        <v>409541</v>
      </c>
      <c r="BD28" s="14">
        <f>SUM(BD22:BD23)</f>
        <v>403173</v>
      </c>
      <c r="BE28" s="14">
        <v>812714</v>
      </c>
      <c r="BF28" s="14">
        <f>SUM(BF22:BF23)</f>
        <v>448409</v>
      </c>
      <c r="BG28" s="14">
        <v>1261123</v>
      </c>
      <c r="BH28" s="14">
        <f>SUM(BH22:BH23)</f>
        <v>373407</v>
      </c>
      <c r="BI28" s="14">
        <f t="shared" si="0"/>
        <v>1634530</v>
      </c>
      <c r="BJ28" s="14">
        <v>396483</v>
      </c>
      <c r="BK28" s="14">
        <f t="shared" si="5"/>
        <v>370932</v>
      </c>
      <c r="BL28" s="14">
        <v>767415</v>
      </c>
      <c r="BM28" s="14">
        <f t="shared" si="6"/>
        <v>440560</v>
      </c>
      <c r="BN28" s="14">
        <v>1207975</v>
      </c>
      <c r="BO28" s="14">
        <f t="shared" si="7"/>
        <v>343926</v>
      </c>
      <c r="BP28" s="14">
        <v>1551901</v>
      </c>
      <c r="BQ28" s="14">
        <v>408471</v>
      </c>
      <c r="BR28" s="14">
        <f t="shared" si="8"/>
        <v>412671</v>
      </c>
      <c r="BS28" s="14">
        <v>821142</v>
      </c>
      <c r="BT28" s="14">
        <f t="shared" si="9"/>
        <v>418159</v>
      </c>
      <c r="BU28" s="14">
        <v>1239301</v>
      </c>
      <c r="BV28" s="14">
        <f t="shared" si="10"/>
        <v>403900</v>
      </c>
      <c r="BW28" s="14">
        <v>1643201</v>
      </c>
      <c r="BX28" s="14">
        <v>460466</v>
      </c>
      <c r="BY28" s="14">
        <f t="shared" si="11"/>
        <v>425426</v>
      </c>
      <c r="BZ28" s="14">
        <v>885892</v>
      </c>
      <c r="CA28" s="14">
        <f t="shared" si="12"/>
        <v>424992</v>
      </c>
      <c r="CB28" s="14">
        <v>1310884</v>
      </c>
      <c r="CC28" s="14">
        <f t="shared" si="13"/>
        <v>448860</v>
      </c>
      <c r="CD28" s="14">
        <v>1759744</v>
      </c>
      <c r="CE28" s="14">
        <v>412824</v>
      </c>
      <c r="CF28" s="14">
        <f t="shared" si="14"/>
        <v>410198</v>
      </c>
      <c r="CG28" s="14">
        <v>823022</v>
      </c>
      <c r="CH28" s="14">
        <f t="shared" si="15"/>
        <v>378029</v>
      </c>
      <c r="CI28" s="14">
        <v>1201051</v>
      </c>
      <c r="CJ28" s="14">
        <f t="shared" si="16"/>
        <v>438117</v>
      </c>
      <c r="CK28" s="14">
        <v>1639168</v>
      </c>
    </row>
    <row r="29" spans="1:89" s="21" customFormat="1" ht="12.75" customHeight="1">
      <c r="A29" s="4" t="s">
        <v>52</v>
      </c>
      <c r="B29" s="5" t="s">
        <v>84</v>
      </c>
      <c r="C29" s="5"/>
      <c r="D29" s="5"/>
      <c r="F29" s="13">
        <v>-338795</v>
      </c>
      <c r="G29" s="13">
        <f t="shared" si="1"/>
        <v>-325302</v>
      </c>
      <c r="H29" s="13">
        <v>-664097</v>
      </c>
      <c r="I29" s="13">
        <f t="shared" si="2"/>
        <v>-350708</v>
      </c>
      <c r="J29" s="13">
        <v>-1014805</v>
      </c>
      <c r="K29" s="13">
        <f t="shared" si="3"/>
        <v>-358180</v>
      </c>
      <c r="L29" s="13">
        <v>-1372985</v>
      </c>
      <c r="M29" s="13">
        <v>-343116</v>
      </c>
      <c r="N29" s="13">
        <v>-344714</v>
      </c>
      <c r="O29" s="13">
        <v>-687830</v>
      </c>
      <c r="P29" s="13">
        <v>-329258</v>
      </c>
      <c r="Q29" s="13">
        <v>-1017088</v>
      </c>
      <c r="R29" s="13">
        <v>-366215</v>
      </c>
      <c r="S29" s="13">
        <v>-1383303</v>
      </c>
      <c r="T29" s="13">
        <v>-323806</v>
      </c>
      <c r="U29" s="13">
        <v>-332038</v>
      </c>
      <c r="V29" s="13">
        <v>-655844</v>
      </c>
      <c r="W29" s="13">
        <v>-358876</v>
      </c>
      <c r="X29" s="13">
        <v>-1014720</v>
      </c>
      <c r="Y29" s="13">
        <v>-395811</v>
      </c>
      <c r="Z29" s="13">
        <v>-1410531</v>
      </c>
      <c r="AA29" s="13">
        <v>-322923</v>
      </c>
      <c r="AB29" s="13">
        <f t="shared" si="4"/>
        <v>-336813</v>
      </c>
      <c r="AC29" s="13">
        <v>-659736</v>
      </c>
      <c r="AD29" s="13">
        <v>-309651</v>
      </c>
      <c r="AE29" s="13">
        <v>-969387</v>
      </c>
      <c r="AF29" s="13">
        <v>-347089</v>
      </c>
      <c r="AG29" s="13">
        <v>-1316476</v>
      </c>
      <c r="AH29" s="13">
        <v>-323000</v>
      </c>
      <c r="AI29" s="13">
        <v>-340128</v>
      </c>
      <c r="AJ29" s="13">
        <v>-663128</v>
      </c>
      <c r="AK29" s="13">
        <v>-312633</v>
      </c>
      <c r="AL29" s="13">
        <v>-975761</v>
      </c>
      <c r="AM29" s="13">
        <v>-333524</v>
      </c>
      <c r="AN29" s="13">
        <v>-1309285</v>
      </c>
      <c r="AO29" s="13">
        <v>-320719</v>
      </c>
      <c r="AP29" s="13">
        <v>-333107</v>
      </c>
      <c r="AQ29" s="13">
        <v>-653826</v>
      </c>
      <c r="AR29" s="13">
        <v>-312269</v>
      </c>
      <c r="AS29" s="13">
        <v>-966095</v>
      </c>
      <c r="AT29" s="13">
        <v>-293371</v>
      </c>
      <c r="AU29" s="13">
        <v>-1259466</v>
      </c>
      <c r="AV29" s="13">
        <v>-317491</v>
      </c>
      <c r="AW29" s="13">
        <v>-337206</v>
      </c>
      <c r="AX29" s="13">
        <v>-654697</v>
      </c>
      <c r="AY29" s="13">
        <v>-306759</v>
      </c>
      <c r="AZ29" s="13">
        <v>-961456</v>
      </c>
      <c r="BA29" s="13">
        <v>-325439</v>
      </c>
      <c r="BB29" s="13">
        <v>-1286895</v>
      </c>
      <c r="BC29" s="13">
        <f>+BC30+BC31</f>
        <v>-309111</v>
      </c>
      <c r="BD29" s="13">
        <f>+BD30+BD31</f>
        <v>-336576</v>
      </c>
      <c r="BE29" s="13">
        <v>-645687</v>
      </c>
      <c r="BF29" s="13">
        <f>+BF30+BF31</f>
        <v>-296912</v>
      </c>
      <c r="BG29" s="13">
        <v>-942599</v>
      </c>
      <c r="BH29" s="13">
        <f>+BH30+BH31</f>
        <v>-331829</v>
      </c>
      <c r="BI29" s="13">
        <f t="shared" si="0"/>
        <v>-1274428</v>
      </c>
      <c r="BJ29" s="13">
        <f>+BJ30+BJ31</f>
        <v>-307297</v>
      </c>
      <c r="BK29" s="13">
        <f t="shared" si="5"/>
        <v>-330249</v>
      </c>
      <c r="BL29" s="13">
        <f>+BL30+BL31</f>
        <v>-637546</v>
      </c>
      <c r="BM29" s="13">
        <f t="shared" si="6"/>
        <v>-302333</v>
      </c>
      <c r="BN29" s="13">
        <f>+BN30+BN31</f>
        <v>-939879</v>
      </c>
      <c r="BO29" s="13">
        <f t="shared" si="7"/>
        <v>-332349</v>
      </c>
      <c r="BP29" s="13">
        <f>+BP30+BP31</f>
        <v>-1272228</v>
      </c>
      <c r="BQ29" s="13">
        <v>-278856</v>
      </c>
      <c r="BR29" s="13">
        <f t="shared" si="8"/>
        <v>-301286</v>
      </c>
      <c r="BS29" s="13">
        <f>SUM(BS30:BS31)</f>
        <v>-580142</v>
      </c>
      <c r="BT29" s="13">
        <f t="shared" si="9"/>
        <v>-287274</v>
      </c>
      <c r="BU29" s="13">
        <f>+BU30+BU31</f>
        <v>-867416</v>
      </c>
      <c r="BV29" s="13">
        <f t="shared" si="10"/>
        <v>-315140</v>
      </c>
      <c r="BW29" s="13">
        <v>-1182556</v>
      </c>
      <c r="BX29" s="13">
        <v>-263890</v>
      </c>
      <c r="BY29" s="13">
        <f t="shared" si="11"/>
        <v>-267460</v>
      </c>
      <c r="BZ29" s="13">
        <v>-531350</v>
      </c>
      <c r="CA29" s="13">
        <f t="shared" si="12"/>
        <v>-272210</v>
      </c>
      <c r="CB29" s="13">
        <v>-803560</v>
      </c>
      <c r="CC29" s="13">
        <f t="shared" si="13"/>
        <v>-305306</v>
      </c>
      <c r="CD29" s="13">
        <v>-1108866</v>
      </c>
      <c r="CE29" s="13">
        <v>-261161</v>
      </c>
      <c r="CF29" s="13">
        <f t="shared" si="14"/>
        <v>-272845</v>
      </c>
      <c r="CG29" s="13">
        <v>-534006</v>
      </c>
      <c r="CH29" s="13">
        <f t="shared" si="15"/>
        <v>-234693</v>
      </c>
      <c r="CI29" s="13">
        <v>-768699</v>
      </c>
      <c r="CJ29" s="13">
        <f t="shared" si="16"/>
        <v>-289621</v>
      </c>
      <c r="CK29" s="13">
        <v>-1058320</v>
      </c>
    </row>
    <row r="30" spans="1:89" s="21" customFormat="1" ht="12.75" customHeight="1">
      <c r="A30" s="4"/>
      <c r="B30" s="5" t="s">
        <v>85</v>
      </c>
      <c r="C30" s="5"/>
      <c r="D30" s="5"/>
      <c r="E30" s="5"/>
      <c r="F30" s="13">
        <v>-194125</v>
      </c>
      <c r="G30" s="13">
        <f t="shared" si="1"/>
        <v>-191551</v>
      </c>
      <c r="H30" s="13">
        <v>-385676</v>
      </c>
      <c r="I30" s="13">
        <f t="shared" si="2"/>
        <v>-191656</v>
      </c>
      <c r="J30" s="13">
        <v>-577332</v>
      </c>
      <c r="K30" s="13">
        <f t="shared" si="3"/>
        <v>-206146</v>
      </c>
      <c r="L30" s="13">
        <v>-783478</v>
      </c>
      <c r="M30" s="13">
        <v>-196586</v>
      </c>
      <c r="N30" s="13">
        <v>-201655</v>
      </c>
      <c r="O30" s="13">
        <v>-398241</v>
      </c>
      <c r="P30" s="13">
        <v>-176168</v>
      </c>
      <c r="Q30" s="13">
        <v>-574409</v>
      </c>
      <c r="R30" s="13">
        <v>-194740</v>
      </c>
      <c r="S30" s="13">
        <v>-769149</v>
      </c>
      <c r="T30" s="13">
        <v>-199322</v>
      </c>
      <c r="U30" s="13">
        <v>-196883</v>
      </c>
      <c r="V30" s="13">
        <v>-396205</v>
      </c>
      <c r="W30" s="13">
        <v>-232374</v>
      </c>
      <c r="X30" s="13">
        <v>-628579</v>
      </c>
      <c r="Y30" s="13">
        <v>-196474</v>
      </c>
      <c r="Z30" s="13">
        <v>-825053</v>
      </c>
      <c r="AA30" s="13">
        <v>-196796</v>
      </c>
      <c r="AB30" s="13">
        <f t="shared" si="4"/>
        <v>-201099</v>
      </c>
      <c r="AC30" s="13">
        <v>-397895</v>
      </c>
      <c r="AD30" s="13">
        <v>-180006</v>
      </c>
      <c r="AE30" s="13">
        <v>-577901</v>
      </c>
      <c r="AF30" s="13">
        <v>-208786</v>
      </c>
      <c r="AG30" s="13">
        <v>-786687</v>
      </c>
      <c r="AH30" s="13">
        <v>-198440</v>
      </c>
      <c r="AI30" s="13">
        <v>-208169</v>
      </c>
      <c r="AJ30" s="13">
        <v>-406609</v>
      </c>
      <c r="AK30" s="13">
        <v>-185171</v>
      </c>
      <c r="AL30" s="13">
        <v>-591780</v>
      </c>
      <c r="AM30" s="13">
        <v>-195699</v>
      </c>
      <c r="AN30" s="13">
        <v>-787479</v>
      </c>
      <c r="AO30" s="13">
        <v>-197918</v>
      </c>
      <c r="AP30" s="13">
        <v>-205333</v>
      </c>
      <c r="AQ30" s="13">
        <v>-403251</v>
      </c>
      <c r="AR30" s="13">
        <v>-197420</v>
      </c>
      <c r="AS30" s="13">
        <v>-600671</v>
      </c>
      <c r="AT30" s="13">
        <v>-168906</v>
      </c>
      <c r="AU30" s="13">
        <v>-769577</v>
      </c>
      <c r="AV30" s="13">
        <v>-197908</v>
      </c>
      <c r="AW30" s="13">
        <v>-208809</v>
      </c>
      <c r="AX30" s="13">
        <v>-406717</v>
      </c>
      <c r="AY30" s="13">
        <v>-181453</v>
      </c>
      <c r="AZ30" s="13">
        <v>-588170</v>
      </c>
      <c r="BA30" s="13">
        <v>-197706</v>
      </c>
      <c r="BB30" s="13">
        <v>-785876</v>
      </c>
      <c r="BC30" s="13">
        <f>-190143-1603</f>
        <v>-191746</v>
      </c>
      <c r="BD30" s="13">
        <f>+BE30-BC30</f>
        <v>-207437</v>
      </c>
      <c r="BE30" s="13">
        <v>-399183</v>
      </c>
      <c r="BF30" s="13">
        <f>-578389+(-BC30-BD30)</f>
        <v>-179206</v>
      </c>
      <c r="BG30" s="13">
        <v>-578389</v>
      </c>
      <c r="BH30" s="13">
        <f>+BI30-BC30-BD30-BF30</f>
        <v>-199718</v>
      </c>
      <c r="BI30" s="13">
        <v>-778107</v>
      </c>
      <c r="BJ30" s="13">
        <v>-187638</v>
      </c>
      <c r="BK30" s="13">
        <f t="shared" si="5"/>
        <v>-195552</v>
      </c>
      <c r="BL30" s="13">
        <f>-187638-195552</f>
        <v>-383190</v>
      </c>
      <c r="BM30" s="13">
        <f t="shared" si="6"/>
        <v>-182615</v>
      </c>
      <c r="BN30" s="13">
        <f>-187638-195552-182615</f>
        <v>-565805</v>
      </c>
      <c r="BO30" s="13">
        <f t="shared" si="7"/>
        <v>-205794</v>
      </c>
      <c r="BP30" s="13">
        <f>-765796-5803</f>
        <v>-771599</v>
      </c>
      <c r="BQ30" s="13">
        <v>-173517</v>
      </c>
      <c r="BR30" s="13">
        <f t="shared" si="8"/>
        <v>-181762</v>
      </c>
      <c r="BS30" s="13">
        <v>-355279</v>
      </c>
      <c r="BT30" s="13">
        <f t="shared" si="9"/>
        <v>-177450</v>
      </c>
      <c r="BU30" s="13">
        <v>-532729</v>
      </c>
      <c r="BV30" s="13">
        <f t="shared" si="10"/>
        <v>-185231</v>
      </c>
      <c r="BW30" s="13">
        <v>-717960</v>
      </c>
      <c r="BX30" s="13">
        <v>-165570</v>
      </c>
      <c r="BY30" s="13">
        <f t="shared" si="11"/>
        <v>-154649</v>
      </c>
      <c r="BZ30" s="13">
        <v>-320219</v>
      </c>
      <c r="CA30" s="13">
        <f t="shared" si="12"/>
        <v>-172055</v>
      </c>
      <c r="CB30" s="13">
        <v>-492274</v>
      </c>
      <c r="CC30" s="13">
        <f t="shared" si="13"/>
        <v>-185581</v>
      </c>
      <c r="CD30" s="13">
        <v>-677855</v>
      </c>
      <c r="CE30" s="13">
        <v>-162657</v>
      </c>
      <c r="CF30" s="13">
        <f t="shared" si="14"/>
        <v>-168533</v>
      </c>
      <c r="CG30" s="13">
        <v>-331190</v>
      </c>
      <c r="CH30" s="13">
        <f t="shared" si="15"/>
        <v>-144943</v>
      </c>
      <c r="CI30" s="13">
        <v>-476133</v>
      </c>
      <c r="CJ30" s="13">
        <f t="shared" si="16"/>
        <v>-177064</v>
      </c>
      <c r="CK30" s="13">
        <v>-653197</v>
      </c>
    </row>
    <row r="31" spans="1:89" s="21" customFormat="1" ht="12.75" customHeight="1">
      <c r="A31" s="4"/>
      <c r="B31" s="5" t="s">
        <v>86</v>
      </c>
      <c r="C31" s="5"/>
      <c r="D31" s="5"/>
      <c r="E31" s="5"/>
      <c r="F31" s="13">
        <v>-144670</v>
      </c>
      <c r="G31" s="13">
        <f t="shared" si="1"/>
        <v>-133751</v>
      </c>
      <c r="H31" s="13">
        <v>-278421</v>
      </c>
      <c r="I31" s="13">
        <f t="shared" si="2"/>
        <v>-159052</v>
      </c>
      <c r="J31" s="13">
        <v>-437473</v>
      </c>
      <c r="K31" s="13">
        <f t="shared" si="3"/>
        <v>-152034</v>
      </c>
      <c r="L31" s="13">
        <v>-589507</v>
      </c>
      <c r="M31" s="13">
        <v>-146530</v>
      </c>
      <c r="N31" s="13">
        <v>-143059</v>
      </c>
      <c r="O31" s="13">
        <v>-289589</v>
      </c>
      <c r="P31" s="13">
        <v>-153090</v>
      </c>
      <c r="Q31" s="13">
        <v>-442679</v>
      </c>
      <c r="R31" s="13">
        <v>-171475</v>
      </c>
      <c r="S31" s="13">
        <v>-614154</v>
      </c>
      <c r="T31" s="13">
        <v>-124484</v>
      </c>
      <c r="U31" s="13">
        <v>-135155</v>
      </c>
      <c r="V31" s="13">
        <v>-259639</v>
      </c>
      <c r="W31" s="13">
        <v>-126502</v>
      </c>
      <c r="X31" s="13">
        <v>-386141</v>
      </c>
      <c r="Y31" s="13">
        <v>-199337</v>
      </c>
      <c r="Z31" s="13">
        <v>-585478</v>
      </c>
      <c r="AA31" s="13">
        <v>-126127</v>
      </c>
      <c r="AB31" s="13">
        <f t="shared" si="4"/>
        <v>-135714</v>
      </c>
      <c r="AC31" s="13">
        <v>-261841</v>
      </c>
      <c r="AD31" s="13">
        <v>-129645</v>
      </c>
      <c r="AE31" s="13">
        <v>-391486</v>
      </c>
      <c r="AF31" s="13">
        <v>-138303</v>
      </c>
      <c r="AG31" s="13">
        <v>-529789</v>
      </c>
      <c r="AH31" s="13">
        <v>-124560</v>
      </c>
      <c r="AI31" s="13">
        <v>-131959</v>
      </c>
      <c r="AJ31" s="13">
        <v>-256519</v>
      </c>
      <c r="AK31" s="13">
        <v>-127462</v>
      </c>
      <c r="AL31" s="13">
        <v>-383981</v>
      </c>
      <c r="AM31" s="13">
        <v>-137825</v>
      </c>
      <c r="AN31" s="13">
        <v>-521806</v>
      </c>
      <c r="AO31" s="13">
        <v>-122801</v>
      </c>
      <c r="AP31" s="13">
        <v>-127774</v>
      </c>
      <c r="AQ31" s="13">
        <v>-250575</v>
      </c>
      <c r="AR31" s="13">
        <v>-114849</v>
      </c>
      <c r="AS31" s="13">
        <v>-365424</v>
      </c>
      <c r="AT31" s="13">
        <v>-124465</v>
      </c>
      <c r="AU31" s="13">
        <v>-489889</v>
      </c>
      <c r="AV31" s="13">
        <v>-119583</v>
      </c>
      <c r="AW31" s="13">
        <v>-128397</v>
      </c>
      <c r="AX31" s="13">
        <v>-247980</v>
      </c>
      <c r="AY31" s="13">
        <v>-125306</v>
      </c>
      <c r="AZ31" s="13">
        <v>-373286</v>
      </c>
      <c r="BA31" s="13">
        <v>-127733</v>
      </c>
      <c r="BB31" s="13">
        <v>-501019</v>
      </c>
      <c r="BC31" s="13">
        <f>-118968+1603</f>
        <v>-117365</v>
      </c>
      <c r="BD31" s="13">
        <f>+BE31-BC31</f>
        <v>-129139</v>
      </c>
      <c r="BE31" s="13">
        <v>-246504</v>
      </c>
      <c r="BF31" s="13">
        <f>-364210+(-BC31-BD31)</f>
        <v>-117706</v>
      </c>
      <c r="BG31" s="13">
        <v>-364210</v>
      </c>
      <c r="BH31" s="13">
        <f>+BI31-BC31-BD31-BF31</f>
        <v>-132111</v>
      </c>
      <c r="BI31" s="13">
        <v>-496321</v>
      </c>
      <c r="BJ31" s="13">
        <v>-119659</v>
      </c>
      <c r="BK31" s="13">
        <f t="shared" si="5"/>
        <v>-134697</v>
      </c>
      <c r="BL31" s="13">
        <f>-119659-134697</f>
        <v>-254356</v>
      </c>
      <c r="BM31" s="13">
        <f t="shared" si="6"/>
        <v>-119718</v>
      </c>
      <c r="BN31" s="13">
        <f>-119659-134697-119718</f>
        <v>-374074</v>
      </c>
      <c r="BO31" s="13">
        <f t="shared" si="7"/>
        <v>-126555</v>
      </c>
      <c r="BP31" s="13">
        <f>-506432+5803</f>
        <v>-500629</v>
      </c>
      <c r="BQ31" s="13">
        <v>-105339</v>
      </c>
      <c r="BR31" s="13">
        <f t="shared" si="8"/>
        <v>-119524</v>
      </c>
      <c r="BS31" s="13">
        <v>-224863</v>
      </c>
      <c r="BT31" s="13">
        <f t="shared" si="9"/>
        <v>-109824</v>
      </c>
      <c r="BU31" s="13">
        <v>-334687</v>
      </c>
      <c r="BV31" s="13">
        <f t="shared" si="10"/>
        <v>-129909</v>
      </c>
      <c r="BW31" s="13">
        <v>-464596</v>
      </c>
      <c r="BX31" s="13">
        <v>-98320</v>
      </c>
      <c r="BY31" s="13">
        <f t="shared" si="11"/>
        <v>-112811</v>
      </c>
      <c r="BZ31" s="13">
        <v>-211131</v>
      </c>
      <c r="CA31" s="13">
        <f t="shared" si="12"/>
        <v>-100155</v>
      </c>
      <c r="CB31" s="13">
        <v>-311286</v>
      </c>
      <c r="CC31" s="13">
        <f t="shared" si="13"/>
        <v>-119725</v>
      </c>
      <c r="CD31" s="13">
        <v>-431011</v>
      </c>
      <c r="CE31" s="13">
        <v>-98504</v>
      </c>
      <c r="CF31" s="13">
        <f t="shared" si="14"/>
        <v>-104312</v>
      </c>
      <c r="CG31" s="13">
        <v>-202816</v>
      </c>
      <c r="CH31" s="13">
        <f t="shared" si="15"/>
        <v>-89750</v>
      </c>
      <c r="CI31" s="13">
        <v>-292566</v>
      </c>
      <c r="CJ31" s="13">
        <f t="shared" si="16"/>
        <v>-112557</v>
      </c>
      <c r="CK31" s="13">
        <v>-405123</v>
      </c>
    </row>
    <row r="32" spans="1:89" s="21" customFormat="1" ht="12.75" customHeight="1">
      <c r="A32" s="4" t="s">
        <v>54</v>
      </c>
      <c r="B32" s="5" t="s">
        <v>87</v>
      </c>
      <c r="C32" s="5"/>
      <c r="D32" s="5"/>
      <c r="F32" s="13">
        <v>-5661</v>
      </c>
      <c r="G32" s="13">
        <f t="shared" si="1"/>
        <v>-5941</v>
      </c>
      <c r="H32" s="13">
        <v>-11602</v>
      </c>
      <c r="I32" s="13">
        <f t="shared" si="2"/>
        <v>-9268</v>
      </c>
      <c r="J32" s="13">
        <v>-20870</v>
      </c>
      <c r="K32" s="13">
        <f t="shared" si="3"/>
        <v>-9708</v>
      </c>
      <c r="L32" s="13">
        <v>-30578</v>
      </c>
      <c r="M32" s="13">
        <v>-9621</v>
      </c>
      <c r="N32" s="13">
        <v>-12504</v>
      </c>
      <c r="O32" s="13">
        <v>-22125</v>
      </c>
      <c r="P32" s="13">
        <v>-5791</v>
      </c>
      <c r="Q32" s="13">
        <v>-27916</v>
      </c>
      <c r="R32" s="13">
        <v>-752</v>
      </c>
      <c r="S32" s="13">
        <v>-28668</v>
      </c>
      <c r="T32" s="13">
        <v>-14096</v>
      </c>
      <c r="U32" s="13">
        <v>-22689</v>
      </c>
      <c r="V32" s="13">
        <v>-36785</v>
      </c>
      <c r="W32" s="13">
        <v>-15440</v>
      </c>
      <c r="X32" s="13">
        <v>-52225</v>
      </c>
      <c r="Y32" s="13">
        <v>88</v>
      </c>
      <c r="Z32" s="13">
        <v>-52137</v>
      </c>
      <c r="AA32" s="13">
        <v>-6658</v>
      </c>
      <c r="AB32" s="13">
        <f t="shared" si="4"/>
        <v>-12976</v>
      </c>
      <c r="AC32" s="13">
        <v>-19634</v>
      </c>
      <c r="AD32" s="13">
        <v>-8036</v>
      </c>
      <c r="AE32" s="13">
        <v>-27670</v>
      </c>
      <c r="AF32" s="13">
        <v>-11112</v>
      </c>
      <c r="AG32" s="13">
        <v>-38782</v>
      </c>
      <c r="AH32" s="13">
        <v>-5318</v>
      </c>
      <c r="AI32" s="13">
        <v>-13060</v>
      </c>
      <c r="AJ32" s="13">
        <v>-18378</v>
      </c>
      <c r="AK32" s="13">
        <v>-1700</v>
      </c>
      <c r="AL32" s="13">
        <v>-20078</v>
      </c>
      <c r="AM32" s="13">
        <v>-9832</v>
      </c>
      <c r="AN32" s="13">
        <v>-29910</v>
      </c>
      <c r="AO32" s="13">
        <v>-4907</v>
      </c>
      <c r="AP32" s="13">
        <v>-3654</v>
      </c>
      <c r="AQ32" s="13">
        <v>-8561</v>
      </c>
      <c r="AR32" s="13">
        <v>-2135</v>
      </c>
      <c r="AS32" s="13">
        <v>-10696</v>
      </c>
      <c r="AT32" s="13">
        <v>-18436</v>
      </c>
      <c r="AU32" s="13">
        <v>-29132</v>
      </c>
      <c r="AV32" s="13">
        <v>-7268</v>
      </c>
      <c r="AW32" s="13">
        <v>-9006</v>
      </c>
      <c r="AX32" s="13">
        <v>-16274</v>
      </c>
      <c r="AY32" s="13">
        <v>-3276</v>
      </c>
      <c r="AZ32" s="13">
        <v>-19550</v>
      </c>
      <c r="BA32" s="13">
        <v>-2862</v>
      </c>
      <c r="BB32" s="13">
        <v>-22412</v>
      </c>
      <c r="BC32" s="13">
        <v>-6692</v>
      </c>
      <c r="BD32" s="13">
        <v>-10362</v>
      </c>
      <c r="BE32" s="13">
        <v>-17054</v>
      </c>
      <c r="BF32" s="13">
        <v>-6651</v>
      </c>
      <c r="BG32" s="13">
        <v>-23705</v>
      </c>
      <c r="BH32" s="13">
        <v>-7188</v>
      </c>
      <c r="BI32" s="13">
        <f t="shared" ref="BI32:BI47" si="17">+BC32+BD32+BF32+BH32</f>
        <v>-30893</v>
      </c>
      <c r="BJ32" s="13">
        <v>-3542</v>
      </c>
      <c r="BK32" s="13">
        <f t="shared" si="5"/>
        <v>-12313</v>
      </c>
      <c r="BL32" s="13">
        <f>-3542-12313</f>
        <v>-15855</v>
      </c>
      <c r="BM32" s="13">
        <f t="shared" si="6"/>
        <v>996</v>
      </c>
      <c r="BN32" s="13">
        <f>-3542-12313+996</f>
        <v>-14859</v>
      </c>
      <c r="BO32" s="13">
        <f t="shared" si="7"/>
        <v>-7417</v>
      </c>
      <c r="BP32" s="13">
        <v>-22276</v>
      </c>
      <c r="BQ32" s="13">
        <v>-8008</v>
      </c>
      <c r="BR32" s="13">
        <f t="shared" si="8"/>
        <v>-1433</v>
      </c>
      <c r="BS32" s="13">
        <v>-9441</v>
      </c>
      <c r="BT32" s="13">
        <f t="shared" si="9"/>
        <v>-7768</v>
      </c>
      <c r="BU32" s="13">
        <v>-17209</v>
      </c>
      <c r="BV32" s="13">
        <f t="shared" si="10"/>
        <v>-13899</v>
      </c>
      <c r="BW32" s="13">
        <v>-31108</v>
      </c>
      <c r="BX32" s="13">
        <v>-4699</v>
      </c>
      <c r="BY32" s="13">
        <f t="shared" si="11"/>
        <v>-12341</v>
      </c>
      <c r="BZ32" s="13">
        <v>-17040</v>
      </c>
      <c r="CA32" s="13">
        <f t="shared" si="12"/>
        <v>-6987</v>
      </c>
      <c r="CB32" s="13">
        <v>-24027</v>
      </c>
      <c r="CC32" s="13">
        <f t="shared" si="13"/>
        <v>3483</v>
      </c>
      <c r="CD32" s="13">
        <v>-20544</v>
      </c>
      <c r="CE32" s="13">
        <v>-6397</v>
      </c>
      <c r="CF32" s="13">
        <f t="shared" si="14"/>
        <v>-9146</v>
      </c>
      <c r="CG32" s="13">
        <v>-15543</v>
      </c>
      <c r="CH32" s="13">
        <f t="shared" si="15"/>
        <v>-5018</v>
      </c>
      <c r="CI32" s="13">
        <v>-20561</v>
      </c>
      <c r="CJ32" s="13">
        <f t="shared" si="16"/>
        <v>-19057</v>
      </c>
      <c r="CK32" s="13">
        <v>-39618</v>
      </c>
    </row>
    <row r="33" spans="1:89" s="21" customFormat="1" ht="12.75" customHeight="1">
      <c r="A33" s="4" t="s">
        <v>56</v>
      </c>
      <c r="B33" s="253" t="s">
        <v>88</v>
      </c>
      <c r="C33" s="253"/>
      <c r="D33" s="253"/>
      <c r="E33" s="253"/>
      <c r="F33" s="13">
        <v>-9076</v>
      </c>
      <c r="G33" s="13">
        <f t="shared" si="1"/>
        <v>-12048</v>
      </c>
      <c r="H33" s="13">
        <v>-21124</v>
      </c>
      <c r="I33" s="13">
        <f t="shared" si="2"/>
        <v>-9771</v>
      </c>
      <c r="J33" s="13">
        <v>-30895</v>
      </c>
      <c r="K33" s="13">
        <f t="shared" si="3"/>
        <v>-15229</v>
      </c>
      <c r="L33" s="13">
        <v>-46124</v>
      </c>
      <c r="M33" s="13">
        <v>-8983</v>
      </c>
      <c r="N33" s="13">
        <v>-12104</v>
      </c>
      <c r="O33" s="13">
        <v>-21087</v>
      </c>
      <c r="P33" s="13">
        <v>-9150</v>
      </c>
      <c r="Q33" s="13">
        <v>-30237</v>
      </c>
      <c r="R33" s="13">
        <v>-15472</v>
      </c>
      <c r="S33" s="13">
        <v>-45709</v>
      </c>
      <c r="T33" s="13">
        <v>-9944</v>
      </c>
      <c r="U33" s="13">
        <v>-9171</v>
      </c>
      <c r="V33" s="13">
        <v>-19115</v>
      </c>
      <c r="W33" s="13">
        <v>-9295</v>
      </c>
      <c r="X33" s="13">
        <v>-28410</v>
      </c>
      <c r="Y33" s="13">
        <v>-19926</v>
      </c>
      <c r="Z33" s="13">
        <v>-48336</v>
      </c>
      <c r="AA33" s="13">
        <v>-10402</v>
      </c>
      <c r="AB33" s="13">
        <f t="shared" si="4"/>
        <v>-10253</v>
      </c>
      <c r="AC33" s="13">
        <v>-20655</v>
      </c>
      <c r="AD33" s="13">
        <v>-10192</v>
      </c>
      <c r="AE33" s="13">
        <v>-30847</v>
      </c>
      <c r="AF33" s="13">
        <v>-12918</v>
      </c>
      <c r="AG33" s="13">
        <v>-43765</v>
      </c>
      <c r="AH33" s="13">
        <v>-10081</v>
      </c>
      <c r="AI33" s="13">
        <v>-10155</v>
      </c>
      <c r="AJ33" s="13">
        <v>-20236</v>
      </c>
      <c r="AK33" s="13">
        <v>-10190</v>
      </c>
      <c r="AL33" s="13">
        <v>-30426</v>
      </c>
      <c r="AM33" s="13">
        <v>-13304</v>
      </c>
      <c r="AN33" s="13">
        <v>-43730</v>
      </c>
      <c r="AO33" s="13">
        <v>-10315</v>
      </c>
      <c r="AP33" s="13">
        <v>-11414</v>
      </c>
      <c r="AQ33" s="13">
        <v>-21729</v>
      </c>
      <c r="AR33" s="13">
        <v>-10434</v>
      </c>
      <c r="AS33" s="13">
        <v>-32163</v>
      </c>
      <c r="AT33" s="13">
        <v>-12685</v>
      </c>
      <c r="AU33" s="13">
        <v>-44848</v>
      </c>
      <c r="AV33" s="13">
        <v>-10695</v>
      </c>
      <c r="AW33" s="13">
        <v>-10963</v>
      </c>
      <c r="AX33" s="13">
        <v>-21658</v>
      </c>
      <c r="AY33" s="13">
        <v>-10637</v>
      </c>
      <c r="AZ33" s="13">
        <v>-32295</v>
      </c>
      <c r="BA33" s="13">
        <v>-11176</v>
      </c>
      <c r="BB33" s="13">
        <v>-43471</v>
      </c>
      <c r="BC33" s="13">
        <v>-10387</v>
      </c>
      <c r="BD33" s="13">
        <v>-11071</v>
      </c>
      <c r="BE33" s="13">
        <v>-21458</v>
      </c>
      <c r="BF33" s="13">
        <v>-10619</v>
      </c>
      <c r="BG33" s="13">
        <v>-32077</v>
      </c>
      <c r="BH33" s="13">
        <v>-12029</v>
      </c>
      <c r="BI33" s="13">
        <f t="shared" si="17"/>
        <v>-44106</v>
      </c>
      <c r="BJ33" s="13">
        <v>-9582</v>
      </c>
      <c r="BK33" s="13">
        <f t="shared" si="5"/>
        <v>-10459</v>
      </c>
      <c r="BL33" s="13">
        <f>-9582-10459</f>
        <v>-20041</v>
      </c>
      <c r="BM33" s="13">
        <f t="shared" si="6"/>
        <v>-10156</v>
      </c>
      <c r="BN33" s="13">
        <f>-9582-10459-10156</f>
        <v>-30197</v>
      </c>
      <c r="BO33" s="13">
        <f t="shared" si="7"/>
        <v>-16255</v>
      </c>
      <c r="BP33" s="13">
        <v>-46452</v>
      </c>
      <c r="BQ33" s="13">
        <v>-9228</v>
      </c>
      <c r="BR33" s="13">
        <f t="shared" si="8"/>
        <v>-10027</v>
      </c>
      <c r="BS33" s="13">
        <v>-19255</v>
      </c>
      <c r="BT33" s="13">
        <f t="shared" si="9"/>
        <v>-9761</v>
      </c>
      <c r="BU33" s="13">
        <v>-29016</v>
      </c>
      <c r="BV33" s="13">
        <f t="shared" si="10"/>
        <v>-10310</v>
      </c>
      <c r="BW33" s="13">
        <v>-39326</v>
      </c>
      <c r="BX33" s="13">
        <v>-9240</v>
      </c>
      <c r="BY33" s="13">
        <f t="shared" si="11"/>
        <v>-9813</v>
      </c>
      <c r="BZ33" s="13">
        <v>-19053</v>
      </c>
      <c r="CA33" s="13">
        <f t="shared" si="12"/>
        <v>-9909</v>
      </c>
      <c r="CB33" s="13">
        <v>-28962</v>
      </c>
      <c r="CC33" s="13">
        <f t="shared" si="13"/>
        <v>-9878</v>
      </c>
      <c r="CD33" s="13">
        <v>-38840</v>
      </c>
      <c r="CE33" s="13">
        <v>-9527</v>
      </c>
      <c r="CF33" s="13">
        <f t="shared" si="14"/>
        <v>-9763</v>
      </c>
      <c r="CG33" s="13">
        <v>-19290</v>
      </c>
      <c r="CH33" s="13">
        <f t="shared" si="15"/>
        <v>-9741</v>
      </c>
      <c r="CI33" s="13">
        <v>-29031</v>
      </c>
      <c r="CJ33" s="13">
        <f t="shared" si="16"/>
        <v>-9843</v>
      </c>
      <c r="CK33" s="13">
        <v>-38874</v>
      </c>
    </row>
    <row r="34" spans="1:89" s="21" customFormat="1" ht="12.75" customHeight="1">
      <c r="A34" s="4" t="s">
        <v>58</v>
      </c>
      <c r="B34" s="5" t="s">
        <v>89</v>
      </c>
      <c r="C34" s="5"/>
      <c r="D34" s="5"/>
      <c r="F34" s="13">
        <v>-9609</v>
      </c>
      <c r="G34" s="13">
        <f t="shared" si="1"/>
        <v>-9964</v>
      </c>
      <c r="H34" s="13">
        <v>-19573</v>
      </c>
      <c r="I34" s="13">
        <f t="shared" si="2"/>
        <v>-10882</v>
      </c>
      <c r="J34" s="13">
        <v>-30455</v>
      </c>
      <c r="K34" s="13">
        <f t="shared" si="3"/>
        <v>-10850</v>
      </c>
      <c r="L34" s="13">
        <v>-41305</v>
      </c>
      <c r="M34" s="13">
        <v>-8101</v>
      </c>
      <c r="N34" s="13">
        <v>-8339</v>
      </c>
      <c r="O34" s="13">
        <v>-16440</v>
      </c>
      <c r="P34" s="13">
        <v>-8793</v>
      </c>
      <c r="Q34" s="13">
        <v>-25233</v>
      </c>
      <c r="R34" s="13">
        <v>-9653</v>
      </c>
      <c r="S34" s="13">
        <v>-34886</v>
      </c>
      <c r="T34" s="13">
        <v>-7386</v>
      </c>
      <c r="U34" s="13">
        <v>-7916</v>
      </c>
      <c r="V34" s="13">
        <v>-15302</v>
      </c>
      <c r="W34" s="13">
        <v>-8200</v>
      </c>
      <c r="X34" s="13">
        <v>-23502</v>
      </c>
      <c r="Y34" s="13">
        <v>-8411</v>
      </c>
      <c r="Z34" s="13">
        <v>-31913</v>
      </c>
      <c r="AA34" s="13">
        <v>-5955</v>
      </c>
      <c r="AB34" s="13">
        <f t="shared" si="4"/>
        <v>-6360</v>
      </c>
      <c r="AC34" s="13">
        <v>-12315</v>
      </c>
      <c r="AD34" s="13">
        <v>-6823</v>
      </c>
      <c r="AE34" s="13">
        <v>-19138</v>
      </c>
      <c r="AF34" s="13">
        <v>-7483</v>
      </c>
      <c r="AG34" s="13">
        <v>-26621</v>
      </c>
      <c r="AH34" s="13">
        <v>-4958</v>
      </c>
      <c r="AI34" s="13">
        <v>-5307</v>
      </c>
      <c r="AJ34" s="13">
        <v>-10265</v>
      </c>
      <c r="AK34" s="13">
        <v>-5552</v>
      </c>
      <c r="AL34" s="13">
        <v>-15817</v>
      </c>
      <c r="AM34" s="13">
        <v>-6455</v>
      </c>
      <c r="AN34" s="13">
        <v>-22272</v>
      </c>
      <c r="AO34" s="13">
        <v>-3581</v>
      </c>
      <c r="AP34" s="13">
        <v>-3637</v>
      </c>
      <c r="AQ34" s="13">
        <v>-7218</v>
      </c>
      <c r="AR34" s="13">
        <v>-4061</v>
      </c>
      <c r="AS34" s="13">
        <v>-11279</v>
      </c>
      <c r="AT34" s="13">
        <v>-4733</v>
      </c>
      <c r="AU34" s="13">
        <v>-16012</v>
      </c>
      <c r="AV34" s="13">
        <v>-3326</v>
      </c>
      <c r="AW34" s="13">
        <v>-3398</v>
      </c>
      <c r="AX34" s="13">
        <v>-6724</v>
      </c>
      <c r="AY34" s="13">
        <v>-3507</v>
      </c>
      <c r="AZ34" s="13">
        <v>-10231</v>
      </c>
      <c r="BA34" s="13">
        <v>-3974</v>
      </c>
      <c r="BB34" s="13">
        <v>-14205</v>
      </c>
      <c r="BC34" s="13">
        <v>-2711</v>
      </c>
      <c r="BD34" s="13">
        <v>-2671</v>
      </c>
      <c r="BE34" s="13">
        <v>-5382</v>
      </c>
      <c r="BF34" s="13">
        <v>-2641</v>
      </c>
      <c r="BG34" s="13">
        <v>-8023</v>
      </c>
      <c r="BH34" s="13">
        <v>-3211</v>
      </c>
      <c r="BI34" s="13">
        <f t="shared" si="17"/>
        <v>-11234</v>
      </c>
      <c r="BJ34" s="13">
        <v>-2094</v>
      </c>
      <c r="BK34" s="13">
        <f t="shared" si="5"/>
        <v>-2541</v>
      </c>
      <c r="BL34" s="13">
        <f>-2094-2541</f>
        <v>-4635</v>
      </c>
      <c r="BM34" s="13">
        <f t="shared" si="6"/>
        <v>-2398</v>
      </c>
      <c r="BN34" s="13">
        <f>-2094-2541-2398</f>
        <v>-7033</v>
      </c>
      <c r="BO34" s="13">
        <f t="shared" si="7"/>
        <v>-3814</v>
      </c>
      <c r="BP34" s="13">
        <v>-10847</v>
      </c>
      <c r="BQ34" s="13">
        <v>-1251</v>
      </c>
      <c r="BR34" s="13">
        <f t="shared" si="8"/>
        <v>-1524</v>
      </c>
      <c r="BS34" s="13">
        <v>-2775</v>
      </c>
      <c r="BT34" s="13">
        <f t="shared" si="9"/>
        <v>-1530</v>
      </c>
      <c r="BU34" s="13">
        <v>-4305</v>
      </c>
      <c r="BV34" s="13">
        <f t="shared" si="10"/>
        <v>-2002</v>
      </c>
      <c r="BW34" s="13">
        <v>-6307</v>
      </c>
      <c r="BX34" s="13">
        <v>-1375</v>
      </c>
      <c r="BY34" s="13">
        <f t="shared" si="11"/>
        <v>-1655</v>
      </c>
      <c r="BZ34" s="13">
        <v>-3030</v>
      </c>
      <c r="CA34" s="13">
        <f t="shared" si="12"/>
        <v>-1668</v>
      </c>
      <c r="CB34" s="13">
        <v>-4698</v>
      </c>
      <c r="CC34" s="13">
        <f t="shared" si="13"/>
        <v>-1991</v>
      </c>
      <c r="CD34" s="13">
        <v>-6689</v>
      </c>
      <c r="CE34" s="13">
        <v>-1365</v>
      </c>
      <c r="CF34" s="13">
        <f t="shared" si="14"/>
        <v>-1577</v>
      </c>
      <c r="CG34" s="13">
        <v>-2942</v>
      </c>
      <c r="CH34" s="13">
        <f t="shared" si="15"/>
        <v>-1515</v>
      </c>
      <c r="CI34" s="13">
        <v>-4457</v>
      </c>
      <c r="CJ34" s="13">
        <f t="shared" si="16"/>
        <v>-1612</v>
      </c>
      <c r="CK34" s="13">
        <v>-6069</v>
      </c>
    </row>
    <row r="35" spans="1:89" s="21" customFormat="1" ht="12.75" customHeight="1">
      <c r="A35" s="4" t="s">
        <v>60</v>
      </c>
      <c r="B35" s="5" t="s">
        <v>90</v>
      </c>
      <c r="C35" s="5"/>
      <c r="D35" s="5"/>
      <c r="F35" s="13">
        <v>40291</v>
      </c>
      <c r="G35" s="13">
        <f t="shared" si="1"/>
        <v>45299</v>
      </c>
      <c r="H35" s="13">
        <v>85590</v>
      </c>
      <c r="I35" s="13">
        <f t="shared" si="2"/>
        <v>54947</v>
      </c>
      <c r="J35" s="13">
        <v>140537</v>
      </c>
      <c r="K35" s="13">
        <f t="shared" si="3"/>
        <v>43828</v>
      </c>
      <c r="L35" s="13">
        <v>184365</v>
      </c>
      <c r="M35" s="13">
        <v>45943</v>
      </c>
      <c r="N35" s="13">
        <v>45329</v>
      </c>
      <c r="O35" s="13">
        <v>91272</v>
      </c>
      <c r="P35" s="13">
        <v>42990</v>
      </c>
      <c r="Q35" s="13">
        <v>134262</v>
      </c>
      <c r="R35" s="13">
        <v>39455</v>
      </c>
      <c r="S35" s="13">
        <v>173717</v>
      </c>
      <c r="T35" s="13">
        <v>46307</v>
      </c>
      <c r="U35" s="13">
        <v>41032</v>
      </c>
      <c r="V35" s="13">
        <v>87339</v>
      </c>
      <c r="W35" s="13">
        <v>43078</v>
      </c>
      <c r="X35" s="13">
        <v>130417</v>
      </c>
      <c r="Y35" s="13">
        <v>45387</v>
      </c>
      <c r="Z35" s="13">
        <v>175804</v>
      </c>
      <c r="AA35" s="13">
        <v>48455</v>
      </c>
      <c r="AB35" s="13">
        <f t="shared" si="4"/>
        <v>43525</v>
      </c>
      <c r="AC35" s="13">
        <v>91980</v>
      </c>
      <c r="AD35" s="13">
        <v>37556</v>
      </c>
      <c r="AE35" s="13">
        <v>129536</v>
      </c>
      <c r="AF35" s="13">
        <v>43732</v>
      </c>
      <c r="AG35" s="13">
        <v>173268</v>
      </c>
      <c r="AH35" s="13">
        <v>57822</v>
      </c>
      <c r="AI35" s="13">
        <v>55765</v>
      </c>
      <c r="AJ35" s="13">
        <v>113587</v>
      </c>
      <c r="AK35" s="13">
        <v>49388</v>
      </c>
      <c r="AL35" s="13">
        <v>162975</v>
      </c>
      <c r="AM35" s="13">
        <v>48876</v>
      </c>
      <c r="AN35" s="13">
        <v>211851</v>
      </c>
      <c r="AO35" s="13">
        <v>31283</v>
      </c>
      <c r="AP35" s="13">
        <v>30255</v>
      </c>
      <c r="AQ35" s="13">
        <v>61538</v>
      </c>
      <c r="AR35" s="13">
        <v>46152</v>
      </c>
      <c r="AS35" s="13">
        <v>107690</v>
      </c>
      <c r="AT35" s="13">
        <v>35963</v>
      </c>
      <c r="AU35" s="13">
        <v>143653</v>
      </c>
      <c r="AV35" s="13">
        <v>27367</v>
      </c>
      <c r="AW35" s="13">
        <v>26516</v>
      </c>
      <c r="AX35" s="13">
        <v>53883</v>
      </c>
      <c r="AY35" s="13">
        <v>25728</v>
      </c>
      <c r="AZ35" s="13">
        <v>79611</v>
      </c>
      <c r="BA35" s="13">
        <v>44773</v>
      </c>
      <c r="BB35" s="13">
        <v>124384</v>
      </c>
      <c r="BC35" s="13">
        <v>23757</v>
      </c>
      <c r="BD35" s="13">
        <v>34292</v>
      </c>
      <c r="BE35" s="13">
        <v>58049</v>
      </c>
      <c r="BF35" s="13">
        <v>22575</v>
      </c>
      <c r="BG35" s="13">
        <v>80624</v>
      </c>
      <c r="BH35" s="13">
        <v>29860</v>
      </c>
      <c r="BI35" s="13">
        <f t="shared" si="17"/>
        <v>110484</v>
      </c>
      <c r="BJ35" s="13">
        <v>24654</v>
      </c>
      <c r="BK35" s="13">
        <f t="shared" si="5"/>
        <v>27443</v>
      </c>
      <c r="BL35" s="13">
        <f>24654+27443</f>
        <v>52097</v>
      </c>
      <c r="BM35" s="13">
        <f t="shared" si="6"/>
        <v>20653</v>
      </c>
      <c r="BN35" s="13">
        <f>24654+27443+20653</f>
        <v>72750</v>
      </c>
      <c r="BO35" s="13">
        <f t="shared" si="7"/>
        <v>24880</v>
      </c>
      <c r="BP35" s="13">
        <v>97630</v>
      </c>
      <c r="BQ35" s="13">
        <v>42497</v>
      </c>
      <c r="BR35" s="13">
        <f t="shared" si="8"/>
        <v>44428</v>
      </c>
      <c r="BS35" s="13">
        <v>86925</v>
      </c>
      <c r="BT35" s="13">
        <f t="shared" si="9"/>
        <v>39733</v>
      </c>
      <c r="BU35" s="13">
        <v>126658</v>
      </c>
      <c r="BV35" s="13">
        <f t="shared" si="10"/>
        <v>-4537</v>
      </c>
      <c r="BW35" s="13">
        <v>122121</v>
      </c>
      <c r="BX35" s="13">
        <v>42665</v>
      </c>
      <c r="BY35" s="13">
        <f t="shared" si="11"/>
        <v>46433</v>
      </c>
      <c r="BZ35" s="13">
        <v>89098</v>
      </c>
      <c r="CA35" s="13">
        <f t="shared" si="12"/>
        <v>42549</v>
      </c>
      <c r="CB35" s="13">
        <v>131647</v>
      </c>
      <c r="CC35" s="13">
        <f t="shared" si="13"/>
        <v>54444</v>
      </c>
      <c r="CD35" s="13">
        <v>186091</v>
      </c>
      <c r="CE35" s="13">
        <v>37876</v>
      </c>
      <c r="CF35" s="13">
        <f t="shared" si="14"/>
        <v>39767</v>
      </c>
      <c r="CG35" s="13">
        <v>77643</v>
      </c>
      <c r="CH35" s="13">
        <f t="shared" si="15"/>
        <v>40435</v>
      </c>
      <c r="CI35" s="13">
        <v>118078</v>
      </c>
      <c r="CJ35" s="13">
        <f t="shared" si="16"/>
        <v>43915</v>
      </c>
      <c r="CK35" s="13">
        <v>161993</v>
      </c>
    </row>
    <row r="36" spans="1:89" s="21" customFormat="1" ht="12.75" customHeight="1">
      <c r="A36" s="4" t="s">
        <v>91</v>
      </c>
      <c r="B36" s="8" t="s">
        <v>92</v>
      </c>
      <c r="C36" s="8"/>
      <c r="D36" s="8"/>
      <c r="E36" s="40"/>
      <c r="F36" s="15">
        <v>-322850</v>
      </c>
      <c r="G36" s="15">
        <f t="shared" si="1"/>
        <v>-307956</v>
      </c>
      <c r="H36" s="15">
        <v>-630806</v>
      </c>
      <c r="I36" s="15">
        <f t="shared" si="2"/>
        <v>-325682</v>
      </c>
      <c r="J36" s="15">
        <v>-956488</v>
      </c>
      <c r="K36" s="15">
        <f t="shared" si="3"/>
        <v>-350139</v>
      </c>
      <c r="L36" s="15">
        <v>-1306627</v>
      </c>
      <c r="M36" s="15">
        <v>-323878</v>
      </c>
      <c r="N36" s="15">
        <v>-332332</v>
      </c>
      <c r="O36" s="15">
        <v>-656210</v>
      </c>
      <c r="P36" s="15">
        <v>-310002</v>
      </c>
      <c r="Q36" s="15">
        <v>-966212</v>
      </c>
      <c r="R36" s="15">
        <v>-352637</v>
      </c>
      <c r="S36" s="15">
        <v>-1318849</v>
      </c>
      <c r="T36" s="15">
        <v>-308925</v>
      </c>
      <c r="U36" s="15">
        <v>-330782</v>
      </c>
      <c r="V36" s="15">
        <v>-639707</v>
      </c>
      <c r="W36" s="15">
        <v>-348733</v>
      </c>
      <c r="X36" s="15">
        <v>-988440</v>
      </c>
      <c r="Y36" s="15">
        <v>-378673</v>
      </c>
      <c r="Z36" s="15">
        <v>-1367113</v>
      </c>
      <c r="AA36" s="15">
        <v>-297483</v>
      </c>
      <c r="AB36" s="15">
        <f t="shared" si="4"/>
        <v>-322877</v>
      </c>
      <c r="AC36" s="15">
        <v>-620360</v>
      </c>
      <c r="AD36" s="15">
        <v>-297146</v>
      </c>
      <c r="AE36" s="15">
        <v>-917506</v>
      </c>
      <c r="AF36" s="15">
        <v>-334870</v>
      </c>
      <c r="AG36" s="15">
        <v>-1252376</v>
      </c>
      <c r="AH36" s="15">
        <v>-285535</v>
      </c>
      <c r="AI36" s="15">
        <v>-312885</v>
      </c>
      <c r="AJ36" s="15">
        <v>-598420</v>
      </c>
      <c r="AK36" s="15">
        <v>-280687</v>
      </c>
      <c r="AL36" s="15">
        <v>-879107</v>
      </c>
      <c r="AM36" s="15">
        <v>-314239</v>
      </c>
      <c r="AN36" s="15">
        <v>-1193346</v>
      </c>
      <c r="AO36" s="15">
        <v>-308239</v>
      </c>
      <c r="AP36" s="15">
        <v>-321557</v>
      </c>
      <c r="AQ36" s="15">
        <v>-629796</v>
      </c>
      <c r="AR36" s="15">
        <v>-282747</v>
      </c>
      <c r="AS36" s="15">
        <v>-912543</v>
      </c>
      <c r="AT36" s="15">
        <v>-293262</v>
      </c>
      <c r="AU36" s="15">
        <v>-1205805</v>
      </c>
      <c r="AV36" s="15">
        <v>-311413</v>
      </c>
      <c r="AW36" s="15">
        <v>-334057</v>
      </c>
      <c r="AX36" s="15">
        <v>-645470</v>
      </c>
      <c r="AY36" s="15">
        <v>-298451</v>
      </c>
      <c r="AZ36" s="15">
        <v>-943921</v>
      </c>
      <c r="BA36" s="15">
        <v>-298678</v>
      </c>
      <c r="BB36" s="15">
        <v>-1242599</v>
      </c>
      <c r="BC36" s="15">
        <f>SUM(BC29:BC35)-SUM(BC30:BC31)</f>
        <v>-305144</v>
      </c>
      <c r="BD36" s="15">
        <f>SUM(BD29:BD35)-SUM(BD30:BD31)</f>
        <v>-326388</v>
      </c>
      <c r="BE36" s="15">
        <v>-631532</v>
      </c>
      <c r="BF36" s="15">
        <f>SUM(BF29:BF35)-SUM(BF30:BF31)</f>
        <v>-294248</v>
      </c>
      <c r="BG36" s="15">
        <v>-925780</v>
      </c>
      <c r="BH36" s="15">
        <f>SUM(BH29:BH35)-SUM(BH30:BH31)</f>
        <v>-324397</v>
      </c>
      <c r="BI36" s="15">
        <f t="shared" si="17"/>
        <v>-1250177</v>
      </c>
      <c r="BJ36" s="15">
        <f>+BJ29+BJ32+BJ33+BJ34+BJ35</f>
        <v>-297861</v>
      </c>
      <c r="BK36" s="15">
        <f t="shared" si="5"/>
        <v>-328119</v>
      </c>
      <c r="BL36" s="15">
        <f>+BL29+BL32+BL33+BL34+BL35</f>
        <v>-625980</v>
      </c>
      <c r="BM36" s="15">
        <f t="shared" si="6"/>
        <v>-293238</v>
      </c>
      <c r="BN36" s="15">
        <f>+BN29+BN32+BN33+BN34+BN35</f>
        <v>-919218</v>
      </c>
      <c r="BO36" s="15">
        <f t="shared" si="7"/>
        <v>-334955</v>
      </c>
      <c r="BP36" s="15">
        <f>+BP29+BP32+BP33+BP34+BP35</f>
        <v>-1254173</v>
      </c>
      <c r="BQ36" s="15">
        <f>SUM(BQ29:BQ35)-SUM(BQ30:BQ31)</f>
        <v>-254846</v>
      </c>
      <c r="BR36" s="15">
        <f t="shared" si="8"/>
        <v>-269842</v>
      </c>
      <c r="BS36" s="15">
        <f>SUM(BS29:BS35)-SUM(BS30:BS31)</f>
        <v>-524688</v>
      </c>
      <c r="BT36" s="15">
        <f t="shared" si="9"/>
        <v>-266600</v>
      </c>
      <c r="BU36" s="15">
        <f>SUM(BU29:BU35)-SUM(BU30:BU31)</f>
        <v>-791288</v>
      </c>
      <c r="BV36" s="15">
        <f t="shared" si="10"/>
        <v>-345888</v>
      </c>
      <c r="BW36" s="15">
        <v>-1137176</v>
      </c>
      <c r="BX36" s="15">
        <v>-236539</v>
      </c>
      <c r="BY36" s="15">
        <f t="shared" si="11"/>
        <v>-244836</v>
      </c>
      <c r="BZ36" s="15">
        <v>-481375</v>
      </c>
      <c r="CA36" s="15">
        <f t="shared" si="12"/>
        <v>-248225</v>
      </c>
      <c r="CB36" s="15">
        <v>-729600</v>
      </c>
      <c r="CC36" s="15">
        <f t="shared" si="13"/>
        <v>-259248</v>
      </c>
      <c r="CD36" s="15">
        <v>-988848</v>
      </c>
      <c r="CE36" s="15">
        <v>-240574</v>
      </c>
      <c r="CF36" s="15">
        <f t="shared" si="14"/>
        <v>-253564</v>
      </c>
      <c r="CG36" s="15">
        <v>-494138</v>
      </c>
      <c r="CH36" s="15">
        <f t="shared" si="15"/>
        <v>-210532</v>
      </c>
      <c r="CI36" s="15">
        <v>-704670</v>
      </c>
      <c r="CJ36" s="15">
        <f t="shared" si="16"/>
        <v>-276218</v>
      </c>
      <c r="CK36" s="15">
        <v>-980888</v>
      </c>
    </row>
    <row r="37" spans="1:89" s="21" customFormat="1" ht="12.75" customHeight="1">
      <c r="A37" s="4" t="s">
        <v>93</v>
      </c>
      <c r="B37" s="5" t="s">
        <v>130</v>
      </c>
      <c r="C37" s="5"/>
      <c r="D37" s="5"/>
      <c r="F37" s="13">
        <v>3675</v>
      </c>
      <c r="G37" s="13">
        <f t="shared" si="1"/>
        <v>2857</v>
      </c>
      <c r="H37" s="13">
        <f>-130722+137254</f>
        <v>6532</v>
      </c>
      <c r="I37" s="13">
        <f t="shared" si="2"/>
        <v>4872</v>
      </c>
      <c r="J37" s="13">
        <f>-130722+142126</f>
        <v>11404</v>
      </c>
      <c r="K37" s="13">
        <f t="shared" si="3"/>
        <v>7079</v>
      </c>
      <c r="L37" s="13">
        <v>18483</v>
      </c>
      <c r="M37" s="13">
        <v>3143</v>
      </c>
      <c r="N37" s="13">
        <v>-406</v>
      </c>
      <c r="O37" s="13">
        <v>2737</v>
      </c>
      <c r="P37" s="13">
        <v>2344</v>
      </c>
      <c r="Q37" s="13">
        <v>5081</v>
      </c>
      <c r="R37" s="13">
        <v>3410</v>
      </c>
      <c r="S37" s="13">
        <v>8491</v>
      </c>
      <c r="T37" s="13">
        <v>-1886</v>
      </c>
      <c r="U37" s="13">
        <v>7270</v>
      </c>
      <c r="V37" s="13">
        <v>5384</v>
      </c>
      <c r="W37" s="13">
        <v>-6843</v>
      </c>
      <c r="X37" s="13">
        <v>-1459</v>
      </c>
      <c r="Y37" s="13">
        <v>1556</v>
      </c>
      <c r="Z37" s="13">
        <v>97</v>
      </c>
      <c r="AA37" s="13">
        <v>-973</v>
      </c>
      <c r="AB37" s="13">
        <f t="shared" si="4"/>
        <v>-2792</v>
      </c>
      <c r="AC37" s="13">
        <v>-3765</v>
      </c>
      <c r="AD37" s="13">
        <v>2270</v>
      </c>
      <c r="AE37" s="13">
        <v>-1495</v>
      </c>
      <c r="AF37" s="13">
        <v>658</v>
      </c>
      <c r="AG37" s="13">
        <v>-837</v>
      </c>
      <c r="AH37" s="13">
        <v>-5</v>
      </c>
      <c r="AI37" s="13">
        <v>-8200</v>
      </c>
      <c r="AJ37" s="13">
        <v>-8205</v>
      </c>
      <c r="AK37" s="13">
        <v>3790</v>
      </c>
      <c r="AL37" s="13">
        <v>-4415</v>
      </c>
      <c r="AM37" s="13">
        <v>-10533</v>
      </c>
      <c r="AN37" s="13">
        <v>-14948</v>
      </c>
      <c r="AO37" s="13">
        <v>-233</v>
      </c>
      <c r="AP37" s="13">
        <v>5384</v>
      </c>
      <c r="AQ37" s="13">
        <v>5151</v>
      </c>
      <c r="AR37" s="13">
        <v>955</v>
      </c>
      <c r="AS37" s="13">
        <v>6106</v>
      </c>
      <c r="AT37" s="13">
        <v>9085</v>
      </c>
      <c r="AU37" s="13">
        <v>15191</v>
      </c>
      <c r="AV37" s="13">
        <v>-2115</v>
      </c>
      <c r="AW37" s="13">
        <v>-16735</v>
      </c>
      <c r="AX37" s="13">
        <v>-18850</v>
      </c>
      <c r="AY37" s="13">
        <v>40</v>
      </c>
      <c r="AZ37" s="13">
        <v>-18810</v>
      </c>
      <c r="BA37" s="13">
        <v>-24356</v>
      </c>
      <c r="BB37" s="13">
        <v>-43166</v>
      </c>
      <c r="BC37" s="13">
        <v>189</v>
      </c>
      <c r="BD37" s="13">
        <v>1443</v>
      </c>
      <c r="BE37" s="13">
        <v>1632</v>
      </c>
      <c r="BF37" s="13">
        <v>-827</v>
      </c>
      <c r="BG37" s="13">
        <v>805</v>
      </c>
      <c r="BH37" s="13">
        <v>16630</v>
      </c>
      <c r="BI37" s="13">
        <f t="shared" si="17"/>
        <v>17435</v>
      </c>
      <c r="BJ37" s="13">
        <v>2545</v>
      </c>
      <c r="BK37" s="13">
        <f t="shared" si="5"/>
        <v>3199</v>
      </c>
      <c r="BL37" s="13">
        <f>2545+3199</f>
        <v>5744</v>
      </c>
      <c r="BM37" s="13">
        <f t="shared" si="6"/>
        <v>4</v>
      </c>
      <c r="BN37" s="13">
        <f>2545+3199+4</f>
        <v>5748</v>
      </c>
      <c r="BO37" s="13">
        <f t="shared" si="7"/>
        <v>3281</v>
      </c>
      <c r="BP37" s="13">
        <v>9029</v>
      </c>
      <c r="BQ37" s="13">
        <v>-53</v>
      </c>
      <c r="BR37" s="13">
        <f t="shared" si="8"/>
        <v>2287</v>
      </c>
      <c r="BS37" s="13">
        <v>2234</v>
      </c>
      <c r="BT37" s="13">
        <f t="shared" si="9"/>
        <v>-146</v>
      </c>
      <c r="BU37" s="13">
        <v>2088</v>
      </c>
      <c r="BV37" s="13">
        <f t="shared" si="10"/>
        <v>-83261</v>
      </c>
      <c r="BW37" s="13">
        <v>-81173</v>
      </c>
      <c r="BX37" s="13">
        <v>-80</v>
      </c>
      <c r="BY37" s="13">
        <f t="shared" si="11"/>
        <v>6004</v>
      </c>
      <c r="BZ37" s="13">
        <v>5924</v>
      </c>
      <c r="CA37" s="13">
        <f t="shared" si="12"/>
        <v>14008</v>
      </c>
      <c r="CB37" s="13">
        <v>19932</v>
      </c>
      <c r="CC37" s="13">
        <f t="shared" si="13"/>
        <v>7207</v>
      </c>
      <c r="CD37" s="13">
        <v>27139</v>
      </c>
      <c r="CE37" s="13">
        <v>-45</v>
      </c>
      <c r="CF37" s="13">
        <f t="shared" si="14"/>
        <v>7222</v>
      </c>
      <c r="CG37" s="13">
        <v>7177</v>
      </c>
      <c r="CH37" s="13">
        <f t="shared" si="15"/>
        <v>-803</v>
      </c>
      <c r="CI37" s="13">
        <v>6374</v>
      </c>
      <c r="CJ37" s="13">
        <f t="shared" si="16"/>
        <v>16278</v>
      </c>
      <c r="CK37" s="13">
        <v>22652</v>
      </c>
    </row>
    <row r="38" spans="1:89" s="21" customFormat="1" ht="12.75" customHeight="1">
      <c r="A38" s="4" t="s">
        <v>95</v>
      </c>
      <c r="B38" s="5" t="s">
        <v>131</v>
      </c>
      <c r="C38" s="5"/>
      <c r="D38" s="5"/>
      <c r="F38" s="13">
        <v>0</v>
      </c>
      <c r="G38" s="13">
        <f t="shared" si="1"/>
        <v>0</v>
      </c>
      <c r="H38" s="13">
        <v>0</v>
      </c>
      <c r="I38" s="13">
        <f t="shared" si="2"/>
        <v>0</v>
      </c>
      <c r="J38" s="13">
        <v>0</v>
      </c>
      <c r="K38" s="13">
        <f t="shared" si="3"/>
        <v>-28357</v>
      </c>
      <c r="L38" s="13">
        <v>-28357</v>
      </c>
      <c r="M38" s="13">
        <v>0</v>
      </c>
      <c r="N38" s="13">
        <v>-3254</v>
      </c>
      <c r="O38" s="13">
        <v>-3254</v>
      </c>
      <c r="P38" s="13">
        <v>0</v>
      </c>
      <c r="Q38" s="13">
        <v>-3254</v>
      </c>
      <c r="R38" s="13">
        <v>-29600</v>
      </c>
      <c r="S38" s="13">
        <v>-32854</v>
      </c>
      <c r="T38" s="13">
        <v>0</v>
      </c>
      <c r="U38" s="13">
        <v>0</v>
      </c>
      <c r="V38" s="13">
        <v>0</v>
      </c>
      <c r="W38" s="13">
        <v>0</v>
      </c>
      <c r="X38" s="13">
        <v>0</v>
      </c>
      <c r="Y38" s="13">
        <v>0</v>
      </c>
      <c r="Z38" s="13">
        <v>0</v>
      </c>
      <c r="AA38" s="13">
        <v>0</v>
      </c>
      <c r="AB38" s="13">
        <f t="shared" si="4"/>
        <v>0</v>
      </c>
      <c r="AC38" s="13">
        <v>0</v>
      </c>
      <c r="AD38" s="13">
        <v>0</v>
      </c>
      <c r="AE38" s="13">
        <v>0</v>
      </c>
      <c r="AF38" s="13">
        <v>0</v>
      </c>
      <c r="AG38" s="13">
        <v>0</v>
      </c>
      <c r="AH38" s="13">
        <v>0</v>
      </c>
      <c r="AI38" s="13">
        <v>0</v>
      </c>
      <c r="AJ38" s="13">
        <v>0</v>
      </c>
      <c r="AK38" s="13">
        <v>0</v>
      </c>
      <c r="AL38" s="13">
        <v>0</v>
      </c>
      <c r="AM38" s="13">
        <v>-112</v>
      </c>
      <c r="AN38" s="13">
        <v>-112</v>
      </c>
      <c r="AO38" s="13">
        <v>0</v>
      </c>
      <c r="AP38" s="13">
        <v>-36</v>
      </c>
      <c r="AQ38" s="13">
        <v>-36</v>
      </c>
      <c r="AR38" s="13">
        <v>0</v>
      </c>
      <c r="AS38" s="13">
        <v>-36</v>
      </c>
      <c r="AT38" s="13">
        <v>-12</v>
      </c>
      <c r="AU38" s="13">
        <v>-48</v>
      </c>
      <c r="AV38" s="13">
        <v>-60</v>
      </c>
      <c r="AW38" s="13">
        <v>-43</v>
      </c>
      <c r="AX38" s="13">
        <v>-103</v>
      </c>
      <c r="AY38" s="13">
        <v>-35</v>
      </c>
      <c r="AZ38" s="13">
        <v>-138</v>
      </c>
      <c r="BA38" s="13">
        <v>-61291</v>
      </c>
      <c r="BB38" s="13">
        <v>-61429</v>
      </c>
      <c r="BC38" s="13">
        <v>-90</v>
      </c>
      <c r="BD38" s="13">
        <v>-83</v>
      </c>
      <c r="BE38" s="13">
        <v>-173</v>
      </c>
      <c r="BF38" s="13">
        <v>-32</v>
      </c>
      <c r="BG38" s="13">
        <v>-205</v>
      </c>
      <c r="BH38" s="13">
        <v>-3094</v>
      </c>
      <c r="BI38" s="13">
        <f t="shared" si="17"/>
        <v>-3299</v>
      </c>
      <c r="BJ38" s="13">
        <v>-19</v>
      </c>
      <c r="BK38" s="13">
        <f t="shared" si="5"/>
        <v>-52</v>
      </c>
      <c r="BL38" s="13">
        <f>-19-52</f>
        <v>-71</v>
      </c>
      <c r="BM38" s="13">
        <f t="shared" si="6"/>
        <v>-49</v>
      </c>
      <c r="BN38" s="13">
        <f>-19-52-49</f>
        <v>-120</v>
      </c>
      <c r="BO38" s="13">
        <f t="shared" si="7"/>
        <v>-67</v>
      </c>
      <c r="BP38" s="13">
        <v>-187</v>
      </c>
      <c r="BQ38" s="13">
        <v>-1</v>
      </c>
      <c r="BR38" s="13">
        <f t="shared" si="8"/>
        <v>-195</v>
      </c>
      <c r="BS38" s="13">
        <v>-196</v>
      </c>
      <c r="BT38" s="13">
        <f t="shared" si="9"/>
        <v>-37</v>
      </c>
      <c r="BU38" s="13">
        <v>-233</v>
      </c>
      <c r="BV38" s="13">
        <f t="shared" si="10"/>
        <v>-12</v>
      </c>
      <c r="BW38" s="13">
        <v>-245</v>
      </c>
      <c r="BX38" s="13">
        <v>-158</v>
      </c>
      <c r="BY38" s="13">
        <f t="shared" si="11"/>
        <v>-256</v>
      </c>
      <c r="BZ38" s="13">
        <v>-414</v>
      </c>
      <c r="CA38" s="13">
        <f t="shared" si="12"/>
        <v>-57</v>
      </c>
      <c r="CB38" s="13">
        <v>-471</v>
      </c>
      <c r="CC38" s="13">
        <f t="shared" si="13"/>
        <v>-476</v>
      </c>
      <c r="CD38" s="13">
        <v>-947</v>
      </c>
      <c r="CE38" s="13">
        <v>-306</v>
      </c>
      <c r="CF38" s="13">
        <f t="shared" si="14"/>
        <v>-506</v>
      </c>
      <c r="CG38" s="13">
        <v>-812</v>
      </c>
      <c r="CH38" s="13">
        <f t="shared" si="15"/>
        <v>-187</v>
      </c>
      <c r="CI38" s="13">
        <v>-999</v>
      </c>
      <c r="CJ38" s="13">
        <f t="shared" si="16"/>
        <v>-214</v>
      </c>
      <c r="CK38" s="13">
        <v>-1213</v>
      </c>
    </row>
    <row r="39" spans="1:89" s="21" customFormat="1" ht="12.75" customHeight="1">
      <c r="A39" s="4"/>
      <c r="B39" s="5"/>
      <c r="C39" s="5"/>
      <c r="D39" s="5"/>
      <c r="F39" s="13"/>
      <c r="G39" s="13"/>
      <c r="H39" s="13">
        <v>130722</v>
      </c>
      <c r="I39" s="13">
        <f t="shared" si="2"/>
        <v>0</v>
      </c>
      <c r="J39" s="13">
        <v>130722</v>
      </c>
      <c r="K39" s="13">
        <f t="shared" si="3"/>
        <v>60170</v>
      </c>
      <c r="L39" s="13">
        <v>190892</v>
      </c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</row>
    <row r="40" spans="1:89" s="21" customFormat="1" ht="12" customHeight="1">
      <c r="A40" s="4" t="s">
        <v>97</v>
      </c>
      <c r="B40" s="5" t="s">
        <v>98</v>
      </c>
      <c r="C40" s="5"/>
      <c r="D40" s="5"/>
      <c r="F40" s="13">
        <v>30</v>
      </c>
      <c r="G40" s="13">
        <f t="shared" si="1"/>
        <v>-14</v>
      </c>
      <c r="H40" s="13">
        <v>16</v>
      </c>
      <c r="I40" s="13">
        <f t="shared" si="2"/>
        <v>13</v>
      </c>
      <c r="J40" s="13">
        <v>29</v>
      </c>
      <c r="K40" s="13">
        <f t="shared" si="3"/>
        <v>-41</v>
      </c>
      <c r="L40" s="13">
        <v>-12</v>
      </c>
      <c r="M40" s="13">
        <v>50</v>
      </c>
      <c r="N40" s="13">
        <v>-417</v>
      </c>
      <c r="O40" s="13">
        <v>-367</v>
      </c>
      <c r="P40" s="13">
        <v>118</v>
      </c>
      <c r="Q40" s="13">
        <v>-249</v>
      </c>
      <c r="R40" s="13">
        <v>29</v>
      </c>
      <c r="S40" s="13">
        <v>-220</v>
      </c>
      <c r="T40" s="13">
        <v>113</v>
      </c>
      <c r="U40" s="13">
        <v>-97</v>
      </c>
      <c r="V40" s="13">
        <v>16</v>
      </c>
      <c r="W40" s="13">
        <v>-3</v>
      </c>
      <c r="X40" s="13">
        <v>13</v>
      </c>
      <c r="Y40" s="13">
        <v>246</v>
      </c>
      <c r="Z40" s="13">
        <v>259</v>
      </c>
      <c r="AA40" s="13">
        <v>1</v>
      </c>
      <c r="AB40" s="13">
        <f t="shared" si="4"/>
        <v>22</v>
      </c>
      <c r="AC40" s="13">
        <v>23</v>
      </c>
      <c r="AD40" s="13">
        <v>3</v>
      </c>
      <c r="AE40" s="13">
        <v>26</v>
      </c>
      <c r="AF40" s="13">
        <v>41</v>
      </c>
      <c r="AG40" s="13">
        <v>67</v>
      </c>
      <c r="AH40" s="13">
        <v>88</v>
      </c>
      <c r="AI40" s="13">
        <v>39</v>
      </c>
      <c r="AJ40" s="13">
        <v>127</v>
      </c>
      <c r="AK40" s="13">
        <v>214</v>
      </c>
      <c r="AL40" s="13">
        <v>341</v>
      </c>
      <c r="AM40" s="13">
        <v>-6</v>
      </c>
      <c r="AN40" s="13">
        <v>335</v>
      </c>
      <c r="AO40" s="13">
        <v>-27</v>
      </c>
      <c r="AP40" s="13">
        <v>-1633</v>
      </c>
      <c r="AQ40" s="13">
        <v>-1660</v>
      </c>
      <c r="AR40" s="13">
        <v>-989</v>
      </c>
      <c r="AS40" s="13">
        <v>-2649</v>
      </c>
      <c r="AT40" s="13">
        <v>2964</v>
      </c>
      <c r="AU40" s="13">
        <v>315</v>
      </c>
      <c r="AV40" s="13">
        <v>289</v>
      </c>
      <c r="AW40" s="13">
        <v>316</v>
      </c>
      <c r="AX40" s="13">
        <v>605</v>
      </c>
      <c r="AY40" s="13">
        <v>243</v>
      </c>
      <c r="AZ40" s="13">
        <v>848</v>
      </c>
      <c r="BA40" s="13">
        <v>1770</v>
      </c>
      <c r="BB40" s="13">
        <v>2618</v>
      </c>
      <c r="BC40" s="13">
        <v>230</v>
      </c>
      <c r="BD40" s="13">
        <v>91</v>
      </c>
      <c r="BE40" s="13">
        <v>321</v>
      </c>
      <c r="BF40" s="13">
        <v>-587</v>
      </c>
      <c r="BG40" s="13">
        <v>-266</v>
      </c>
      <c r="BH40" s="13">
        <v>808</v>
      </c>
      <c r="BI40" s="13">
        <f t="shared" si="17"/>
        <v>542</v>
      </c>
      <c r="BJ40" s="13">
        <v>182</v>
      </c>
      <c r="BK40" s="13">
        <f t="shared" si="5"/>
        <v>-31</v>
      </c>
      <c r="BL40" s="13">
        <f>182-31</f>
        <v>151</v>
      </c>
      <c r="BM40" s="13">
        <f t="shared" si="6"/>
        <v>431</v>
      </c>
      <c r="BN40" s="13">
        <f>182-31+431</f>
        <v>582</v>
      </c>
      <c r="BO40" s="13">
        <f t="shared" si="7"/>
        <v>-780</v>
      </c>
      <c r="BP40" s="13">
        <v>-198</v>
      </c>
      <c r="BQ40" s="13">
        <v>281</v>
      </c>
      <c r="BR40" s="13">
        <f t="shared" si="8"/>
        <v>619</v>
      </c>
      <c r="BS40" s="13">
        <v>900</v>
      </c>
      <c r="BT40" s="13">
        <f t="shared" si="9"/>
        <v>30</v>
      </c>
      <c r="BU40" s="13">
        <v>930</v>
      </c>
      <c r="BV40" s="13">
        <f t="shared" si="10"/>
        <v>545</v>
      </c>
      <c r="BW40" s="13">
        <v>1475</v>
      </c>
      <c r="BX40" s="13">
        <v>195</v>
      </c>
      <c r="BY40" s="13">
        <f t="shared" si="11"/>
        <v>633</v>
      </c>
      <c r="BZ40" s="13">
        <v>828</v>
      </c>
      <c r="CA40" s="13">
        <f t="shared" si="12"/>
        <v>-78</v>
      </c>
      <c r="CB40" s="13">
        <v>750</v>
      </c>
      <c r="CC40" s="13">
        <f t="shared" si="13"/>
        <v>721</v>
      </c>
      <c r="CD40" s="13">
        <v>1471</v>
      </c>
      <c r="CE40" s="13">
        <v>14</v>
      </c>
      <c r="CF40" s="13">
        <f t="shared" si="14"/>
        <v>9</v>
      </c>
      <c r="CG40" s="13">
        <v>23</v>
      </c>
      <c r="CH40" s="13">
        <f t="shared" si="15"/>
        <v>52</v>
      </c>
      <c r="CI40" s="13">
        <v>75</v>
      </c>
      <c r="CJ40" s="13">
        <f t="shared" si="16"/>
        <v>2214</v>
      </c>
      <c r="CK40" s="13">
        <v>2289</v>
      </c>
    </row>
    <row r="41" spans="1:89" s="21" customFormat="1" ht="12" customHeight="1">
      <c r="A41" s="9" t="s">
        <v>99</v>
      </c>
      <c r="B41" s="249" t="s">
        <v>132</v>
      </c>
      <c r="C41" s="249"/>
      <c r="D41" s="249"/>
      <c r="E41" s="249"/>
      <c r="F41" s="14">
        <v>25011</v>
      </c>
      <c r="G41" s="14">
        <f t="shared" si="1"/>
        <v>84038</v>
      </c>
      <c r="H41" s="14">
        <v>109049</v>
      </c>
      <c r="I41" s="14">
        <f t="shared" si="2"/>
        <v>52560</v>
      </c>
      <c r="J41" s="14">
        <v>161609</v>
      </c>
      <c r="K41" s="14">
        <f t="shared" si="3"/>
        <v>37511</v>
      </c>
      <c r="L41" s="14">
        <v>199120</v>
      </c>
      <c r="M41" s="14">
        <v>47435</v>
      </c>
      <c r="N41" s="14">
        <v>45427</v>
      </c>
      <c r="O41" s="14">
        <v>92862</v>
      </c>
      <c r="P41" s="14">
        <v>52418</v>
      </c>
      <c r="Q41" s="14">
        <v>145280</v>
      </c>
      <c r="R41" s="14">
        <v>-134736</v>
      </c>
      <c r="S41" s="14">
        <v>10544</v>
      </c>
      <c r="T41" s="14">
        <v>78935</v>
      </c>
      <c r="U41" s="14">
        <v>36671</v>
      </c>
      <c r="V41" s="14">
        <v>115606</v>
      </c>
      <c r="W41" s="14">
        <v>10052</v>
      </c>
      <c r="X41" s="14">
        <v>125658</v>
      </c>
      <c r="Y41" s="14">
        <v>87856</v>
      </c>
      <c r="Z41" s="14">
        <v>213514</v>
      </c>
      <c r="AA41" s="14">
        <v>51979</v>
      </c>
      <c r="AB41" s="14">
        <f t="shared" si="4"/>
        <v>32251</v>
      </c>
      <c r="AC41" s="14">
        <v>84230</v>
      </c>
      <c r="AD41" s="14">
        <v>47526</v>
      </c>
      <c r="AE41" s="14">
        <v>131756</v>
      </c>
      <c r="AF41" s="14">
        <v>-73591</v>
      </c>
      <c r="AG41" s="14">
        <v>58165</v>
      </c>
      <c r="AH41" s="14">
        <v>44417</v>
      </c>
      <c r="AI41" s="14">
        <v>-28868</v>
      </c>
      <c r="AJ41" s="14">
        <v>15549</v>
      </c>
      <c r="AK41" s="14">
        <v>83722</v>
      </c>
      <c r="AL41" s="14">
        <v>99271</v>
      </c>
      <c r="AM41" s="14">
        <v>-32447</v>
      </c>
      <c r="AN41" s="14">
        <v>66824</v>
      </c>
      <c r="AO41" s="14">
        <v>158523</v>
      </c>
      <c r="AP41" s="14">
        <v>4164</v>
      </c>
      <c r="AQ41" s="14">
        <v>162687</v>
      </c>
      <c r="AR41" s="14">
        <v>117352</v>
      </c>
      <c r="AS41" s="14">
        <v>280039</v>
      </c>
      <c r="AT41" s="14">
        <v>-287452</v>
      </c>
      <c r="AU41" s="14">
        <v>-7413</v>
      </c>
      <c r="AV41" s="14">
        <v>125546</v>
      </c>
      <c r="AW41" s="14">
        <v>70077</v>
      </c>
      <c r="AX41" s="14">
        <v>195623</v>
      </c>
      <c r="AY41" s="14">
        <v>123494</v>
      </c>
      <c r="AZ41" s="14">
        <v>319117</v>
      </c>
      <c r="BA41" s="14">
        <v>86979</v>
      </c>
      <c r="BB41" s="14">
        <v>406096</v>
      </c>
      <c r="BC41" s="14">
        <f>SUM(BC36:BC40)+BC28</f>
        <v>104726</v>
      </c>
      <c r="BD41" s="14">
        <f>SUM(BD36:BD40)+BD28</f>
        <v>78236</v>
      </c>
      <c r="BE41" s="14">
        <v>182962</v>
      </c>
      <c r="BF41" s="14">
        <f>SUM(BF36:BF40)+BF28</f>
        <v>152715</v>
      </c>
      <c r="BG41" s="14">
        <v>335677</v>
      </c>
      <c r="BH41" s="14">
        <f>SUM(BH36:BH40)+BH28</f>
        <v>63354</v>
      </c>
      <c r="BI41" s="14">
        <f t="shared" si="17"/>
        <v>399031</v>
      </c>
      <c r="BJ41" s="14">
        <f>+BJ28+BJ36+BJ37+BJ38+BJ40</f>
        <v>101330</v>
      </c>
      <c r="BK41" s="14">
        <f t="shared" si="5"/>
        <v>45929</v>
      </c>
      <c r="BL41" s="14">
        <v>147259</v>
      </c>
      <c r="BM41" s="14">
        <f t="shared" si="6"/>
        <v>147708</v>
      </c>
      <c r="BN41" s="14">
        <f>+BN28+BN36+BN37+BN38+BN40</f>
        <v>294967</v>
      </c>
      <c r="BO41" s="14">
        <f t="shared" si="7"/>
        <v>11405</v>
      </c>
      <c r="BP41" s="14">
        <f>+BP28+BP36+BP37+BP38+BP40</f>
        <v>306372</v>
      </c>
      <c r="BQ41" s="14">
        <v>153852</v>
      </c>
      <c r="BR41" s="14">
        <f t="shared" si="8"/>
        <v>145540</v>
      </c>
      <c r="BS41" s="14">
        <f>SUM(BS28+BS36+BS37+BS38+BS40)</f>
        <v>299392</v>
      </c>
      <c r="BT41" s="14">
        <f t="shared" si="9"/>
        <v>151406</v>
      </c>
      <c r="BU41" s="14">
        <f>SUM(BU28+BU36+BU37+BU38+BU40)</f>
        <v>450798</v>
      </c>
      <c r="BV41" s="14">
        <f t="shared" si="10"/>
        <v>-24716</v>
      </c>
      <c r="BW41" s="14">
        <v>426082</v>
      </c>
      <c r="BX41" s="14">
        <v>223884</v>
      </c>
      <c r="BY41" s="14">
        <f t="shared" si="11"/>
        <v>186971</v>
      </c>
      <c r="BZ41" s="14">
        <v>410855</v>
      </c>
      <c r="CA41" s="14">
        <f t="shared" si="12"/>
        <v>190640</v>
      </c>
      <c r="CB41" s="14">
        <v>601495</v>
      </c>
      <c r="CC41" s="14">
        <f t="shared" si="13"/>
        <v>197064</v>
      </c>
      <c r="CD41" s="14">
        <v>798559</v>
      </c>
      <c r="CE41" s="14">
        <v>171913</v>
      </c>
      <c r="CF41" s="14">
        <f t="shared" si="14"/>
        <v>163359</v>
      </c>
      <c r="CG41" s="14">
        <v>335272</v>
      </c>
      <c r="CH41" s="14">
        <f t="shared" si="15"/>
        <v>166559</v>
      </c>
      <c r="CI41" s="14">
        <v>501831</v>
      </c>
      <c r="CJ41" s="14">
        <f t="shared" si="16"/>
        <v>180177</v>
      </c>
      <c r="CK41" s="14">
        <v>682008</v>
      </c>
    </row>
    <row r="42" spans="1:89" s="21" customFormat="1" ht="12.75" customHeight="1">
      <c r="A42" s="4" t="s">
        <v>101</v>
      </c>
      <c r="B42" s="5" t="s">
        <v>133</v>
      </c>
      <c r="C42" s="5"/>
      <c r="D42" s="5"/>
      <c r="F42" s="13">
        <v>-7743</v>
      </c>
      <c r="G42" s="13">
        <f t="shared" si="1"/>
        <v>17926</v>
      </c>
      <c r="H42" s="13">
        <v>10183</v>
      </c>
      <c r="I42" s="13">
        <f t="shared" si="2"/>
        <v>-23696</v>
      </c>
      <c r="J42" s="13">
        <v>-13513</v>
      </c>
      <c r="K42" s="13">
        <f t="shared" si="3"/>
        <v>-8725</v>
      </c>
      <c r="L42" s="13">
        <v>-22238</v>
      </c>
      <c r="M42" s="13">
        <v>-14104</v>
      </c>
      <c r="N42" s="13">
        <v>-13689</v>
      </c>
      <c r="O42" s="13">
        <v>-27793</v>
      </c>
      <c r="P42" s="13">
        <v>-12838</v>
      </c>
      <c r="Q42" s="13">
        <v>-40631</v>
      </c>
      <c r="R42" s="13">
        <v>45901</v>
      </c>
      <c r="S42" s="13">
        <v>5270</v>
      </c>
      <c r="T42" s="13">
        <v>-27234</v>
      </c>
      <c r="U42" s="13">
        <v>-7367</v>
      </c>
      <c r="V42" s="13">
        <v>-34601</v>
      </c>
      <c r="W42" s="13">
        <v>-2313</v>
      </c>
      <c r="X42" s="13">
        <v>-36914</v>
      </c>
      <c r="Y42" s="13">
        <v>42632</v>
      </c>
      <c r="Z42" s="13">
        <v>5718</v>
      </c>
      <c r="AA42" s="13">
        <v>-20760</v>
      </c>
      <c r="AB42" s="13">
        <f t="shared" si="4"/>
        <v>-20922</v>
      </c>
      <c r="AC42" s="13">
        <v>-41682</v>
      </c>
      <c r="AD42" s="13">
        <v>-14258</v>
      </c>
      <c r="AE42" s="13">
        <v>-55940</v>
      </c>
      <c r="AF42" s="13">
        <v>27556</v>
      </c>
      <c r="AG42" s="13">
        <v>-28384</v>
      </c>
      <c r="AH42" s="13">
        <v>-30509</v>
      </c>
      <c r="AI42" s="13">
        <v>-5374</v>
      </c>
      <c r="AJ42" s="13">
        <v>-35883</v>
      </c>
      <c r="AK42" s="13">
        <v>-41426</v>
      </c>
      <c r="AL42" s="13">
        <v>-77309</v>
      </c>
      <c r="AM42" s="13">
        <v>25341</v>
      </c>
      <c r="AN42" s="13">
        <v>-51968</v>
      </c>
      <c r="AO42" s="13">
        <v>-64748</v>
      </c>
      <c r="AP42" s="13">
        <v>-20701</v>
      </c>
      <c r="AQ42" s="13">
        <v>-85449</v>
      </c>
      <c r="AR42" s="13">
        <v>-57031</v>
      </c>
      <c r="AS42" s="13">
        <v>-142480</v>
      </c>
      <c r="AT42" s="13">
        <v>117295</v>
      </c>
      <c r="AU42" s="13">
        <v>-25185</v>
      </c>
      <c r="AV42" s="13">
        <v>-53297</v>
      </c>
      <c r="AW42" s="13">
        <v>-47768</v>
      </c>
      <c r="AX42" s="13">
        <v>-101065</v>
      </c>
      <c r="AY42" s="13">
        <v>-55392</v>
      </c>
      <c r="AZ42" s="13">
        <v>-156457</v>
      </c>
      <c r="BA42" s="13">
        <v>-5708</v>
      </c>
      <c r="BB42" s="13">
        <v>-162165</v>
      </c>
      <c r="BC42" s="13">
        <v>-44737</v>
      </c>
      <c r="BD42" s="13">
        <v>-33435</v>
      </c>
      <c r="BE42" s="13">
        <v>-78172</v>
      </c>
      <c r="BF42" s="13">
        <v>-60519</v>
      </c>
      <c r="BG42" s="13">
        <v>-138691</v>
      </c>
      <c r="BH42" s="13">
        <v>-40722</v>
      </c>
      <c r="BI42" s="13">
        <f t="shared" si="17"/>
        <v>-179413</v>
      </c>
      <c r="BJ42" s="13">
        <v>-44965</v>
      </c>
      <c r="BK42" s="13">
        <f t="shared" si="5"/>
        <v>-28454</v>
      </c>
      <c r="BL42" s="13">
        <f>-44965-28454</f>
        <v>-73419</v>
      </c>
      <c r="BM42" s="13">
        <f t="shared" si="6"/>
        <v>-59850</v>
      </c>
      <c r="BN42" s="13">
        <f>-44965-28454-59850</f>
        <v>-133269</v>
      </c>
      <c r="BO42" s="13">
        <f t="shared" si="7"/>
        <v>-12020</v>
      </c>
      <c r="BP42" s="13">
        <v>-145289</v>
      </c>
      <c r="BQ42" s="13">
        <v>-56762</v>
      </c>
      <c r="BR42" s="13">
        <f t="shared" si="8"/>
        <v>-54691</v>
      </c>
      <c r="BS42" s="13">
        <v>-111453</v>
      </c>
      <c r="BT42" s="13">
        <f t="shared" si="9"/>
        <v>-63648</v>
      </c>
      <c r="BU42" s="13">
        <v>-175101</v>
      </c>
      <c r="BV42" s="13">
        <f t="shared" si="10"/>
        <v>-42114</v>
      </c>
      <c r="BW42" s="13">
        <v>-217215</v>
      </c>
      <c r="BX42" s="13">
        <v>-88149</v>
      </c>
      <c r="BY42" s="13">
        <f t="shared" si="11"/>
        <v>-69978</v>
      </c>
      <c r="BZ42" s="13">
        <v>-158127</v>
      </c>
      <c r="CA42" s="13">
        <f t="shared" si="12"/>
        <v>-74336</v>
      </c>
      <c r="CB42" s="13">
        <v>-232463</v>
      </c>
      <c r="CC42" s="13">
        <f t="shared" si="13"/>
        <v>-98028</v>
      </c>
      <c r="CD42" s="13">
        <v>-330491</v>
      </c>
      <c r="CE42" s="13">
        <v>-69302</v>
      </c>
      <c r="CF42" s="13">
        <f t="shared" si="14"/>
        <v>-65043</v>
      </c>
      <c r="CG42" s="13">
        <v>-134345</v>
      </c>
      <c r="CH42" s="13">
        <f t="shared" si="15"/>
        <v>-68290</v>
      </c>
      <c r="CI42" s="13">
        <v>-202635</v>
      </c>
      <c r="CJ42" s="13">
        <f t="shared" si="16"/>
        <v>-62979</v>
      </c>
      <c r="CK42" s="13">
        <v>-265614</v>
      </c>
    </row>
    <row r="43" spans="1:89" s="21" customFormat="1" ht="13.5" customHeight="1">
      <c r="A43" s="9" t="s">
        <v>103</v>
      </c>
      <c r="B43" s="249" t="s">
        <v>134</v>
      </c>
      <c r="C43" s="249"/>
      <c r="D43" s="249"/>
      <c r="E43" s="249"/>
      <c r="F43" s="14">
        <v>17268</v>
      </c>
      <c r="G43" s="14">
        <f t="shared" si="1"/>
        <v>101964</v>
      </c>
      <c r="H43" s="14">
        <v>119232</v>
      </c>
      <c r="I43" s="14">
        <f t="shared" si="2"/>
        <v>28864</v>
      </c>
      <c r="J43" s="14">
        <v>148096</v>
      </c>
      <c r="K43" s="14">
        <f t="shared" si="3"/>
        <v>28786</v>
      </c>
      <c r="L43" s="14">
        <v>176882</v>
      </c>
      <c r="M43" s="14">
        <v>33331</v>
      </c>
      <c r="N43" s="14">
        <v>31738</v>
      </c>
      <c r="O43" s="14">
        <v>65069</v>
      </c>
      <c r="P43" s="14">
        <v>39580</v>
      </c>
      <c r="Q43" s="14">
        <v>104649</v>
      </c>
      <c r="R43" s="14">
        <v>-88835</v>
      </c>
      <c r="S43" s="14">
        <v>15814</v>
      </c>
      <c r="T43" s="14">
        <v>51701</v>
      </c>
      <c r="U43" s="14">
        <v>29304</v>
      </c>
      <c r="V43" s="14">
        <v>81005</v>
      </c>
      <c r="W43" s="14">
        <v>7739</v>
      </c>
      <c r="X43" s="14">
        <v>88744</v>
      </c>
      <c r="Y43" s="14">
        <v>130488</v>
      </c>
      <c r="Z43" s="14">
        <v>219232</v>
      </c>
      <c r="AA43" s="14">
        <v>31219</v>
      </c>
      <c r="AB43" s="14">
        <f t="shared" si="4"/>
        <v>11329</v>
      </c>
      <c r="AC43" s="14">
        <v>42548</v>
      </c>
      <c r="AD43" s="14">
        <v>33268</v>
      </c>
      <c r="AE43" s="14">
        <v>75816</v>
      </c>
      <c r="AF43" s="14">
        <v>-46035</v>
      </c>
      <c r="AG43" s="14">
        <v>29781</v>
      </c>
      <c r="AH43" s="14">
        <v>13908</v>
      </c>
      <c r="AI43" s="14">
        <v>-34242</v>
      </c>
      <c r="AJ43" s="14">
        <v>-20334</v>
      </c>
      <c r="AK43" s="14">
        <v>42296</v>
      </c>
      <c r="AL43" s="14">
        <v>21962</v>
      </c>
      <c r="AM43" s="14">
        <v>-7106</v>
      </c>
      <c r="AN43" s="14">
        <v>14856</v>
      </c>
      <c r="AO43" s="14">
        <v>93775</v>
      </c>
      <c r="AP43" s="14">
        <v>-16537</v>
      </c>
      <c r="AQ43" s="14">
        <v>77238</v>
      </c>
      <c r="AR43" s="14">
        <v>60321</v>
      </c>
      <c r="AS43" s="14">
        <v>137559</v>
      </c>
      <c r="AT43" s="14">
        <v>-170157</v>
      </c>
      <c r="AU43" s="14">
        <v>-32598</v>
      </c>
      <c r="AV43" s="14">
        <v>72249</v>
      </c>
      <c r="AW43" s="14">
        <v>22309</v>
      </c>
      <c r="AX43" s="14">
        <v>94558</v>
      </c>
      <c r="AY43" s="14">
        <v>68102</v>
      </c>
      <c r="AZ43" s="14">
        <v>162660</v>
      </c>
      <c r="BA43" s="14">
        <v>81271</v>
      </c>
      <c r="BB43" s="14">
        <v>243931</v>
      </c>
      <c r="BC43" s="14">
        <f>SUM(BC41:BC42)</f>
        <v>59989</v>
      </c>
      <c r="BD43" s="14">
        <f>SUM(BD41:BD42)</f>
        <v>44801</v>
      </c>
      <c r="BE43" s="14">
        <v>104790</v>
      </c>
      <c r="BF43" s="14">
        <f>SUM(BF41:BF42)</f>
        <v>92196</v>
      </c>
      <c r="BG43" s="14">
        <v>196986</v>
      </c>
      <c r="BH43" s="14">
        <f>SUM(BH41:BH42)</f>
        <v>22632</v>
      </c>
      <c r="BI43" s="14">
        <f t="shared" si="17"/>
        <v>219618</v>
      </c>
      <c r="BJ43" s="14">
        <f>+BJ41+BJ42</f>
        <v>56365</v>
      </c>
      <c r="BK43" s="14">
        <f t="shared" si="5"/>
        <v>17475</v>
      </c>
      <c r="BL43" s="14">
        <f>+BL41+BL42</f>
        <v>73840</v>
      </c>
      <c r="BM43" s="14">
        <f t="shared" si="6"/>
        <v>87858</v>
      </c>
      <c r="BN43" s="14">
        <f>+BN41+BN42</f>
        <v>161698</v>
      </c>
      <c r="BO43" s="14">
        <f t="shared" si="7"/>
        <v>-615</v>
      </c>
      <c r="BP43" s="14">
        <f>+BP41+BP42</f>
        <v>161083</v>
      </c>
      <c r="BQ43" s="14">
        <f>+BQ41+BQ42</f>
        <v>97090</v>
      </c>
      <c r="BR43" s="14">
        <f t="shared" si="8"/>
        <v>90849</v>
      </c>
      <c r="BS43" s="14">
        <f>+BS41+BS42</f>
        <v>187939</v>
      </c>
      <c r="BT43" s="14">
        <f t="shared" si="9"/>
        <v>87758</v>
      </c>
      <c r="BU43" s="14">
        <f>+BU41+BU42</f>
        <v>275697</v>
      </c>
      <c r="BV43" s="14">
        <f t="shared" si="10"/>
        <v>-66830</v>
      </c>
      <c r="BW43" s="14">
        <v>208867</v>
      </c>
      <c r="BX43" s="14">
        <v>135735</v>
      </c>
      <c r="BY43" s="14">
        <f t="shared" si="11"/>
        <v>116993</v>
      </c>
      <c r="BZ43" s="14">
        <v>252728</v>
      </c>
      <c r="CA43" s="14">
        <f t="shared" si="12"/>
        <v>116304</v>
      </c>
      <c r="CB43" s="14">
        <v>369032</v>
      </c>
      <c r="CC43" s="14">
        <f t="shared" si="13"/>
        <v>99036</v>
      </c>
      <c r="CD43" s="14">
        <v>468068</v>
      </c>
      <c r="CE43" s="14">
        <v>102611</v>
      </c>
      <c r="CF43" s="14">
        <f t="shared" si="14"/>
        <v>98316</v>
      </c>
      <c r="CG43" s="14">
        <v>200927</v>
      </c>
      <c r="CH43" s="14">
        <f t="shared" si="15"/>
        <v>98269</v>
      </c>
      <c r="CI43" s="14">
        <v>299196</v>
      </c>
      <c r="CJ43" s="14">
        <f t="shared" si="16"/>
        <v>117198</v>
      </c>
      <c r="CK43" s="14">
        <v>416394</v>
      </c>
    </row>
    <row r="44" spans="1:89" s="21" customFormat="1" ht="10.5" customHeight="1">
      <c r="A44" s="9" t="s">
        <v>105</v>
      </c>
      <c r="B44" s="5" t="s">
        <v>106</v>
      </c>
      <c r="C44" s="5"/>
      <c r="D44" s="5"/>
      <c r="E44" s="5"/>
      <c r="F44" s="89">
        <v>0</v>
      </c>
      <c r="G44" s="89">
        <f t="shared" si="1"/>
        <v>0</v>
      </c>
      <c r="H44" s="89">
        <v>0</v>
      </c>
      <c r="I44" s="89">
        <f t="shared" si="2"/>
        <v>0</v>
      </c>
      <c r="J44" s="89">
        <v>0</v>
      </c>
      <c r="K44" s="89">
        <f t="shared" si="3"/>
        <v>0</v>
      </c>
      <c r="L44" s="89">
        <v>0</v>
      </c>
      <c r="M44" s="89">
        <v>0</v>
      </c>
      <c r="N44" s="89">
        <v>0</v>
      </c>
      <c r="O44" s="89">
        <v>0</v>
      </c>
      <c r="P44" s="89">
        <v>0</v>
      </c>
      <c r="Q44" s="89">
        <v>0</v>
      </c>
      <c r="R44" s="89">
        <v>0</v>
      </c>
      <c r="S44" s="89">
        <v>0</v>
      </c>
      <c r="T44" s="89">
        <v>0</v>
      </c>
      <c r="U44" s="89">
        <v>0</v>
      </c>
      <c r="V44" s="89">
        <v>0</v>
      </c>
      <c r="W44" s="89">
        <v>0</v>
      </c>
      <c r="X44" s="89">
        <v>0</v>
      </c>
      <c r="Y44" s="89">
        <v>0</v>
      </c>
      <c r="Z44" s="89">
        <v>0</v>
      </c>
      <c r="AA44" s="89">
        <v>0</v>
      </c>
      <c r="AB44" s="89">
        <f t="shared" si="4"/>
        <v>0</v>
      </c>
      <c r="AC44" s="89">
        <v>0</v>
      </c>
      <c r="AD44" s="89">
        <v>0</v>
      </c>
      <c r="AE44" s="89">
        <v>0</v>
      </c>
      <c r="AF44" s="89">
        <v>0</v>
      </c>
      <c r="AG44" s="89">
        <v>0</v>
      </c>
      <c r="AH44" s="89">
        <v>1525</v>
      </c>
      <c r="AI44" s="89">
        <v>-1082</v>
      </c>
      <c r="AJ44" s="89">
        <v>443</v>
      </c>
      <c r="AK44" s="89">
        <v>815</v>
      </c>
      <c r="AL44" s="89">
        <v>1258</v>
      </c>
      <c r="AM44" s="89">
        <v>0</v>
      </c>
      <c r="AN44" s="89">
        <v>1258</v>
      </c>
      <c r="AO44" s="89">
        <v>0</v>
      </c>
      <c r="AP44" s="89">
        <v>0</v>
      </c>
      <c r="AQ44" s="89">
        <v>0</v>
      </c>
      <c r="AR44" s="89">
        <v>482</v>
      </c>
      <c r="AS44" s="89">
        <v>482</v>
      </c>
      <c r="AT44" s="89">
        <v>-482</v>
      </c>
      <c r="AU44" s="89">
        <v>0</v>
      </c>
      <c r="AV44" s="89">
        <v>199</v>
      </c>
      <c r="AW44" s="89">
        <v>1307</v>
      </c>
      <c r="AX44" s="89">
        <v>1506</v>
      </c>
      <c r="AY44" s="89">
        <v>602</v>
      </c>
      <c r="AZ44" s="89">
        <v>2108</v>
      </c>
      <c r="BA44" s="89">
        <v>-8680</v>
      </c>
      <c r="BB44" s="89">
        <v>-6572</v>
      </c>
      <c r="BC44" s="89">
        <v>5813</v>
      </c>
      <c r="BD44" s="89">
        <v>104649</v>
      </c>
      <c r="BE44" s="89">
        <v>110462</v>
      </c>
      <c r="BF44" s="89">
        <v>331</v>
      </c>
      <c r="BG44" s="89">
        <v>110793</v>
      </c>
      <c r="BH44" s="89">
        <v>-3054</v>
      </c>
      <c r="BI44" s="89">
        <f t="shared" si="17"/>
        <v>107739</v>
      </c>
      <c r="BJ44" s="89">
        <v>0</v>
      </c>
      <c r="BK44" s="89">
        <f t="shared" si="5"/>
        <v>3890</v>
      </c>
      <c r="BL44" s="89">
        <v>3890</v>
      </c>
      <c r="BM44" s="89">
        <f t="shared" si="6"/>
        <v>5508</v>
      </c>
      <c r="BN44" s="89">
        <f>3890+5508</f>
        <v>9398</v>
      </c>
      <c r="BO44" s="89">
        <f t="shared" si="7"/>
        <v>-1008</v>
      </c>
      <c r="BP44" s="89">
        <v>8390</v>
      </c>
      <c r="BQ44" s="89">
        <v>0</v>
      </c>
      <c r="BR44" s="89">
        <f t="shared" si="8"/>
        <v>0</v>
      </c>
      <c r="BS44" s="89">
        <v>0</v>
      </c>
      <c r="BT44" s="89">
        <f t="shared" si="9"/>
        <v>0</v>
      </c>
      <c r="BU44" s="89">
        <v>0</v>
      </c>
      <c r="BV44" s="89">
        <f t="shared" si="10"/>
        <v>0</v>
      </c>
      <c r="BW44" s="89">
        <v>0</v>
      </c>
      <c r="BX44" s="89">
        <v>0</v>
      </c>
      <c r="BY44" s="89">
        <f t="shared" si="11"/>
        <v>0</v>
      </c>
      <c r="BZ44" s="89">
        <v>0</v>
      </c>
      <c r="CA44" s="89">
        <f t="shared" si="12"/>
        <v>0</v>
      </c>
      <c r="CB44" s="89">
        <v>0</v>
      </c>
      <c r="CC44" s="89">
        <f t="shared" si="13"/>
        <v>0</v>
      </c>
      <c r="CD44" s="89">
        <v>0</v>
      </c>
      <c r="CE44" s="89">
        <v>0</v>
      </c>
      <c r="CF44" s="89">
        <f t="shared" si="14"/>
        <v>0</v>
      </c>
      <c r="CG44" s="89">
        <v>0</v>
      </c>
      <c r="CH44" s="89">
        <f t="shared" si="15"/>
        <v>0</v>
      </c>
      <c r="CI44" s="89"/>
      <c r="CJ44" s="89">
        <f t="shared" si="16"/>
        <v>0</v>
      </c>
      <c r="CK44" s="89">
        <v>0</v>
      </c>
    </row>
    <row r="45" spans="1:89" s="21" customFormat="1" ht="12" customHeight="1">
      <c r="A45" s="4" t="s">
        <v>107</v>
      </c>
      <c r="B45" s="8" t="s">
        <v>135</v>
      </c>
      <c r="C45" s="8"/>
      <c r="D45" s="8"/>
      <c r="E45" s="40"/>
      <c r="F45" s="7">
        <v>17268</v>
      </c>
      <c r="G45" s="7">
        <f t="shared" si="1"/>
        <v>101964</v>
      </c>
      <c r="H45" s="7">
        <v>119232</v>
      </c>
      <c r="I45" s="7">
        <f t="shared" si="2"/>
        <v>28864</v>
      </c>
      <c r="J45" s="7">
        <v>148096</v>
      </c>
      <c r="K45" s="7">
        <f t="shared" si="3"/>
        <v>28786</v>
      </c>
      <c r="L45" s="7">
        <v>176882</v>
      </c>
      <c r="M45" s="7">
        <v>33331</v>
      </c>
      <c r="N45" s="7">
        <v>31738</v>
      </c>
      <c r="O45" s="7">
        <v>65069</v>
      </c>
      <c r="P45" s="7">
        <v>39580</v>
      </c>
      <c r="Q45" s="7">
        <v>104649</v>
      </c>
      <c r="R45" s="7">
        <v>-88835</v>
      </c>
      <c r="S45" s="7">
        <v>15814</v>
      </c>
      <c r="T45" s="7">
        <v>51701</v>
      </c>
      <c r="U45" s="7">
        <v>29304</v>
      </c>
      <c r="V45" s="7">
        <v>81005</v>
      </c>
      <c r="W45" s="7">
        <v>7739</v>
      </c>
      <c r="X45" s="7">
        <v>88744</v>
      </c>
      <c r="Y45" s="7">
        <v>130488</v>
      </c>
      <c r="Z45" s="7">
        <v>219232</v>
      </c>
      <c r="AA45" s="7">
        <v>31219</v>
      </c>
      <c r="AB45" s="7">
        <f t="shared" si="4"/>
        <v>11329</v>
      </c>
      <c r="AC45" s="7">
        <v>42548</v>
      </c>
      <c r="AD45" s="7">
        <v>33268</v>
      </c>
      <c r="AE45" s="7">
        <v>75816</v>
      </c>
      <c r="AF45" s="7">
        <v>-46035</v>
      </c>
      <c r="AG45" s="7">
        <v>29781</v>
      </c>
      <c r="AH45" s="7">
        <v>15433</v>
      </c>
      <c r="AI45" s="7">
        <v>-35324</v>
      </c>
      <c r="AJ45" s="7">
        <v>-19891</v>
      </c>
      <c r="AK45" s="7">
        <v>43111</v>
      </c>
      <c r="AL45" s="7">
        <v>23220</v>
      </c>
      <c r="AM45" s="7">
        <v>-7106</v>
      </c>
      <c r="AN45" s="7">
        <v>16114</v>
      </c>
      <c r="AO45" s="7">
        <v>93775</v>
      </c>
      <c r="AP45" s="7">
        <v>-16537</v>
      </c>
      <c r="AQ45" s="7">
        <v>77238</v>
      </c>
      <c r="AR45" s="7">
        <v>60803</v>
      </c>
      <c r="AS45" s="7">
        <v>138041</v>
      </c>
      <c r="AT45" s="7">
        <v>-170639</v>
      </c>
      <c r="AU45" s="7">
        <v>-32598</v>
      </c>
      <c r="AV45" s="7">
        <v>72448</v>
      </c>
      <c r="AW45" s="7">
        <v>23616</v>
      </c>
      <c r="AX45" s="7">
        <v>96064</v>
      </c>
      <c r="AY45" s="7">
        <v>68704</v>
      </c>
      <c r="AZ45" s="7">
        <v>164768</v>
      </c>
      <c r="BA45" s="7">
        <v>72591</v>
      </c>
      <c r="BB45" s="7">
        <v>237359</v>
      </c>
      <c r="BC45" s="7">
        <f>+BC43+BC44</f>
        <v>65802</v>
      </c>
      <c r="BD45" s="7">
        <f>+BD43+BD44</f>
        <v>149450</v>
      </c>
      <c r="BE45" s="7">
        <v>215252</v>
      </c>
      <c r="BF45" s="7">
        <f>+BF43+BF44</f>
        <v>92527</v>
      </c>
      <c r="BG45" s="7">
        <v>307779</v>
      </c>
      <c r="BH45" s="7">
        <f>+BH43+BH44</f>
        <v>19578</v>
      </c>
      <c r="BI45" s="7">
        <f t="shared" si="17"/>
        <v>327357</v>
      </c>
      <c r="BJ45" s="7">
        <f>+BJ43+BJ44</f>
        <v>56365</v>
      </c>
      <c r="BK45" s="7">
        <f t="shared" si="5"/>
        <v>21365</v>
      </c>
      <c r="BL45" s="7">
        <f>+BL43+BL44</f>
        <v>77730</v>
      </c>
      <c r="BM45" s="7">
        <f t="shared" si="6"/>
        <v>93366</v>
      </c>
      <c r="BN45" s="7">
        <f>+BN43+BN44</f>
        <v>171096</v>
      </c>
      <c r="BO45" s="7">
        <f t="shared" si="7"/>
        <v>-1623</v>
      </c>
      <c r="BP45" s="7">
        <f>+BP43+BP44</f>
        <v>169473</v>
      </c>
      <c r="BQ45" s="7">
        <v>97090</v>
      </c>
      <c r="BR45" s="7">
        <f t="shared" si="8"/>
        <v>90849</v>
      </c>
      <c r="BS45" s="7">
        <f>+BS43+BS44</f>
        <v>187939</v>
      </c>
      <c r="BT45" s="7">
        <f t="shared" si="9"/>
        <v>87758</v>
      </c>
      <c r="BU45" s="7">
        <f>+BU43</f>
        <v>275697</v>
      </c>
      <c r="BV45" s="7">
        <f t="shared" si="10"/>
        <v>-66830</v>
      </c>
      <c r="BW45" s="7">
        <v>208867</v>
      </c>
      <c r="BX45" s="7">
        <v>135735</v>
      </c>
      <c r="BY45" s="7">
        <f t="shared" si="11"/>
        <v>116993</v>
      </c>
      <c r="BZ45" s="7">
        <v>252728</v>
      </c>
      <c r="CA45" s="7">
        <f t="shared" si="12"/>
        <v>116304</v>
      </c>
      <c r="CB45" s="7">
        <v>369032</v>
      </c>
      <c r="CC45" s="7">
        <f t="shared" si="13"/>
        <v>99036</v>
      </c>
      <c r="CD45" s="7">
        <v>468068</v>
      </c>
      <c r="CE45" s="7">
        <v>102611</v>
      </c>
      <c r="CF45" s="7">
        <f t="shared" si="14"/>
        <v>98316</v>
      </c>
      <c r="CG45" s="7">
        <v>200927</v>
      </c>
      <c r="CH45" s="7">
        <f t="shared" si="15"/>
        <v>98269</v>
      </c>
      <c r="CI45" s="7">
        <v>299196</v>
      </c>
      <c r="CJ45" s="7">
        <f t="shared" si="16"/>
        <v>117198</v>
      </c>
      <c r="CK45" s="7">
        <v>416394</v>
      </c>
    </row>
    <row r="46" spans="1:89" s="21" customFormat="1" ht="12.75" customHeight="1">
      <c r="A46" s="4" t="s">
        <v>108</v>
      </c>
      <c r="B46" s="5" t="s">
        <v>136</v>
      </c>
      <c r="C46" s="5"/>
      <c r="D46" s="5"/>
      <c r="F46" s="90">
        <v>-2710</v>
      </c>
      <c r="G46" s="90">
        <f t="shared" si="1"/>
        <v>2540</v>
      </c>
      <c r="H46" s="90">
        <v>-170</v>
      </c>
      <c r="I46" s="90">
        <f t="shared" si="2"/>
        <v>1032</v>
      </c>
      <c r="J46" s="90">
        <v>862</v>
      </c>
      <c r="K46" s="90">
        <f t="shared" si="3"/>
        <v>-1306</v>
      </c>
      <c r="L46" s="90">
        <v>-444</v>
      </c>
      <c r="M46" s="90">
        <v>-2356</v>
      </c>
      <c r="N46" s="90">
        <v>2029</v>
      </c>
      <c r="O46" s="90">
        <v>-327</v>
      </c>
      <c r="P46" s="90">
        <v>-3162</v>
      </c>
      <c r="Q46" s="90">
        <v>-3489</v>
      </c>
      <c r="R46" s="90">
        <v>1974</v>
      </c>
      <c r="S46" s="90">
        <v>-1515</v>
      </c>
      <c r="T46" s="90">
        <v>-6504</v>
      </c>
      <c r="U46" s="90">
        <v>-1270</v>
      </c>
      <c r="V46" s="90">
        <v>-7774</v>
      </c>
      <c r="W46" s="90">
        <v>1616</v>
      </c>
      <c r="X46" s="90">
        <v>-6158</v>
      </c>
      <c r="Y46" s="90">
        <v>7587</v>
      </c>
      <c r="Z46" s="90">
        <v>1429</v>
      </c>
      <c r="AA46" s="90">
        <v>-2947</v>
      </c>
      <c r="AB46" s="90">
        <f t="shared" si="4"/>
        <v>-3701</v>
      </c>
      <c r="AC46" s="90">
        <v>-6648</v>
      </c>
      <c r="AD46" s="90">
        <v>-8067</v>
      </c>
      <c r="AE46" s="90">
        <v>-14715</v>
      </c>
      <c r="AF46" s="90">
        <v>-269</v>
      </c>
      <c r="AG46" s="90">
        <v>-14984</v>
      </c>
      <c r="AH46" s="90">
        <v>-1041</v>
      </c>
      <c r="AI46" s="90">
        <v>-532</v>
      </c>
      <c r="AJ46" s="90">
        <v>-1573</v>
      </c>
      <c r="AK46" s="90">
        <v>-7441</v>
      </c>
      <c r="AL46" s="90">
        <v>-9014</v>
      </c>
      <c r="AM46" s="90">
        <v>76</v>
      </c>
      <c r="AN46" s="90">
        <v>-8938</v>
      </c>
      <c r="AO46" s="90">
        <v>-6038</v>
      </c>
      <c r="AP46" s="90">
        <v>11577</v>
      </c>
      <c r="AQ46" s="90">
        <v>5539</v>
      </c>
      <c r="AR46" s="90">
        <v>-1873</v>
      </c>
      <c r="AS46" s="90">
        <v>3666</v>
      </c>
      <c r="AT46" s="90">
        <v>17661</v>
      </c>
      <c r="AU46" s="90">
        <v>21327</v>
      </c>
      <c r="AV46" s="90">
        <v>-10897</v>
      </c>
      <c r="AW46" s="90">
        <v>-5073</v>
      </c>
      <c r="AX46" s="90">
        <v>-15970</v>
      </c>
      <c r="AY46" s="90">
        <v>-9583</v>
      </c>
      <c r="AZ46" s="90">
        <v>-25553</v>
      </c>
      <c r="BA46" s="90">
        <v>2833</v>
      </c>
      <c r="BB46" s="90">
        <v>-22720</v>
      </c>
      <c r="BC46" s="90">
        <v>-7814</v>
      </c>
      <c r="BD46" s="90">
        <v>-14463</v>
      </c>
      <c r="BE46" s="90">
        <v>-22277</v>
      </c>
      <c r="BF46" s="90">
        <v>-14301</v>
      </c>
      <c r="BG46" s="90">
        <v>-36578</v>
      </c>
      <c r="BH46" s="90">
        <v>2345</v>
      </c>
      <c r="BI46" s="90">
        <f t="shared" si="17"/>
        <v>-34233</v>
      </c>
      <c r="BJ46" s="90">
        <v>-17444</v>
      </c>
      <c r="BK46" s="90">
        <f t="shared" si="5"/>
        <v>-16560</v>
      </c>
      <c r="BL46" s="90">
        <f>-17444-16560</f>
        <v>-34004</v>
      </c>
      <c r="BM46" s="90">
        <f t="shared" si="6"/>
        <v>-17925</v>
      </c>
      <c r="BN46" s="90">
        <f>-17444-16560-17925</f>
        <v>-51929</v>
      </c>
      <c r="BO46" s="90">
        <f t="shared" si="7"/>
        <v>-1757</v>
      </c>
      <c r="BP46" s="90">
        <v>-53686</v>
      </c>
      <c r="BQ46" s="90">
        <v>-26609</v>
      </c>
      <c r="BR46" s="90">
        <f t="shared" si="8"/>
        <v>-13397</v>
      </c>
      <c r="BS46" s="90">
        <v>-40006</v>
      </c>
      <c r="BT46" s="90">
        <f t="shared" si="9"/>
        <v>-26341</v>
      </c>
      <c r="BU46" s="90">
        <v>-66347</v>
      </c>
      <c r="BV46" s="90">
        <f t="shared" si="10"/>
        <v>-8857</v>
      </c>
      <c r="BW46" s="90">
        <v>-75204</v>
      </c>
      <c r="BX46" s="90">
        <v>-31747</v>
      </c>
      <c r="BY46" s="90">
        <f t="shared" si="11"/>
        <v>-23193</v>
      </c>
      <c r="BZ46" s="90">
        <v>-54940</v>
      </c>
      <c r="CA46" s="90">
        <f t="shared" si="12"/>
        <v>-23945</v>
      </c>
      <c r="CB46" s="90">
        <v>-78885</v>
      </c>
      <c r="CC46" s="90">
        <f t="shared" si="13"/>
        <v>-14728</v>
      </c>
      <c r="CD46" s="90">
        <v>-93613</v>
      </c>
      <c r="CE46" s="90">
        <v>-21836</v>
      </c>
      <c r="CF46" s="90">
        <f t="shared" si="14"/>
        <v>-12323</v>
      </c>
      <c r="CG46" s="90">
        <v>-34159</v>
      </c>
      <c r="CH46" s="90">
        <f t="shared" si="15"/>
        <v>-19543</v>
      </c>
      <c r="CI46" s="90">
        <v>-53702</v>
      </c>
      <c r="CJ46" s="90">
        <f t="shared" si="16"/>
        <v>-15861</v>
      </c>
      <c r="CK46" s="90">
        <v>-69563</v>
      </c>
    </row>
    <row r="47" spans="1:89" s="21" customFormat="1" ht="12.75" customHeight="1">
      <c r="A47" s="26" t="s">
        <v>110</v>
      </c>
      <c r="B47" s="251" t="s">
        <v>137</v>
      </c>
      <c r="C47" s="251"/>
      <c r="D47" s="251"/>
      <c r="E47" s="251"/>
      <c r="F47" s="91">
        <v>14558</v>
      </c>
      <c r="G47" s="91">
        <f t="shared" si="1"/>
        <v>104504</v>
      </c>
      <c r="H47" s="91">
        <v>119062</v>
      </c>
      <c r="I47" s="91">
        <f t="shared" si="2"/>
        <v>29896</v>
      </c>
      <c r="J47" s="91">
        <v>148958</v>
      </c>
      <c r="K47" s="91">
        <f t="shared" si="3"/>
        <v>27480</v>
      </c>
      <c r="L47" s="91">
        <v>176438</v>
      </c>
      <c r="M47" s="91">
        <v>30975</v>
      </c>
      <c r="N47" s="91">
        <v>33767</v>
      </c>
      <c r="O47" s="91">
        <v>64742</v>
      </c>
      <c r="P47" s="91">
        <v>36418</v>
      </c>
      <c r="Q47" s="91">
        <v>101160</v>
      </c>
      <c r="R47" s="91">
        <v>-86861</v>
      </c>
      <c r="S47" s="91">
        <v>14299</v>
      </c>
      <c r="T47" s="91">
        <v>45197</v>
      </c>
      <c r="U47" s="91">
        <v>28034</v>
      </c>
      <c r="V47" s="91">
        <v>73231</v>
      </c>
      <c r="W47" s="91">
        <v>9355</v>
      </c>
      <c r="X47" s="91">
        <v>82586</v>
      </c>
      <c r="Y47" s="91">
        <v>138075</v>
      </c>
      <c r="Z47" s="91">
        <v>220661</v>
      </c>
      <c r="AA47" s="91">
        <v>28272</v>
      </c>
      <c r="AB47" s="91">
        <f t="shared" si="4"/>
        <v>7628</v>
      </c>
      <c r="AC47" s="91">
        <v>35900</v>
      </c>
      <c r="AD47" s="91">
        <v>25201</v>
      </c>
      <c r="AE47" s="91">
        <v>61101</v>
      </c>
      <c r="AF47" s="91">
        <v>-46304</v>
      </c>
      <c r="AG47" s="91">
        <v>14797</v>
      </c>
      <c r="AH47" s="91">
        <v>14392</v>
      </c>
      <c r="AI47" s="91">
        <v>-35856</v>
      </c>
      <c r="AJ47" s="91">
        <v>-21464</v>
      </c>
      <c r="AK47" s="91">
        <v>35670</v>
      </c>
      <c r="AL47" s="91">
        <v>14206</v>
      </c>
      <c r="AM47" s="91">
        <v>-7030</v>
      </c>
      <c r="AN47" s="91">
        <v>7176</v>
      </c>
      <c r="AO47" s="91">
        <v>87737</v>
      </c>
      <c r="AP47" s="91">
        <v>-4960</v>
      </c>
      <c r="AQ47" s="91">
        <v>82777</v>
      </c>
      <c r="AR47" s="91">
        <v>58930</v>
      </c>
      <c r="AS47" s="91">
        <v>141707</v>
      </c>
      <c r="AT47" s="91">
        <v>-152978</v>
      </c>
      <c r="AU47" s="91">
        <v>-11271</v>
      </c>
      <c r="AV47" s="91">
        <v>61551</v>
      </c>
      <c r="AW47" s="91">
        <v>18543</v>
      </c>
      <c r="AX47" s="91">
        <v>80094</v>
      </c>
      <c r="AY47" s="91">
        <v>59121</v>
      </c>
      <c r="AZ47" s="91">
        <v>139215</v>
      </c>
      <c r="BA47" s="91">
        <v>75424</v>
      </c>
      <c r="BB47" s="91">
        <v>214639</v>
      </c>
      <c r="BC47" s="91">
        <f>SUM(BC45+BC46)</f>
        <v>57988</v>
      </c>
      <c r="BD47" s="91">
        <f>SUM(BD45+BD46)</f>
        <v>134987</v>
      </c>
      <c r="BE47" s="91">
        <v>192975</v>
      </c>
      <c r="BF47" s="91">
        <f>SUM(BF45+BF46)</f>
        <v>78226</v>
      </c>
      <c r="BG47" s="91">
        <v>271201</v>
      </c>
      <c r="BH47" s="91">
        <f>SUM(BH45+BH46)</f>
        <v>21923</v>
      </c>
      <c r="BI47" s="91">
        <f t="shared" si="17"/>
        <v>293124</v>
      </c>
      <c r="BJ47" s="91">
        <f>+BJ45+BJ46</f>
        <v>38921</v>
      </c>
      <c r="BK47" s="91">
        <f t="shared" si="5"/>
        <v>4805</v>
      </c>
      <c r="BL47" s="91">
        <f>+BL45+BL46</f>
        <v>43726</v>
      </c>
      <c r="BM47" s="91">
        <f t="shared" si="6"/>
        <v>75441</v>
      </c>
      <c r="BN47" s="91">
        <f>+BN45+BN46</f>
        <v>119167</v>
      </c>
      <c r="BO47" s="91">
        <f t="shared" si="7"/>
        <v>-3380</v>
      </c>
      <c r="BP47" s="91">
        <f>+BP45+BP46</f>
        <v>115787</v>
      </c>
      <c r="BQ47" s="91">
        <f>SUM(BQ45+BQ46)</f>
        <v>70481</v>
      </c>
      <c r="BR47" s="91">
        <f t="shared" si="8"/>
        <v>77452</v>
      </c>
      <c r="BS47" s="91">
        <f>SUM(BS45+BS46)</f>
        <v>147933</v>
      </c>
      <c r="BT47" s="91">
        <f t="shared" si="9"/>
        <v>61417</v>
      </c>
      <c r="BU47" s="91">
        <f>SUM(BU45+BU46)</f>
        <v>209350</v>
      </c>
      <c r="BV47" s="91">
        <f t="shared" si="10"/>
        <v>-75687</v>
      </c>
      <c r="BW47" s="91">
        <v>133663</v>
      </c>
      <c r="BX47" s="91">
        <v>103988</v>
      </c>
      <c r="BY47" s="91">
        <f t="shared" si="11"/>
        <v>93800</v>
      </c>
      <c r="BZ47" s="91">
        <v>197788</v>
      </c>
      <c r="CA47" s="91">
        <f t="shared" si="12"/>
        <v>92359</v>
      </c>
      <c r="CB47" s="91">
        <v>290147</v>
      </c>
      <c r="CC47" s="91">
        <f t="shared" si="13"/>
        <v>84308</v>
      </c>
      <c r="CD47" s="91">
        <v>374455</v>
      </c>
      <c r="CE47" s="91">
        <v>80775</v>
      </c>
      <c r="CF47" s="91">
        <f t="shared" si="14"/>
        <v>85993</v>
      </c>
      <c r="CG47" s="91">
        <v>166768</v>
      </c>
      <c r="CH47" s="91">
        <f t="shared" si="15"/>
        <v>78726</v>
      </c>
      <c r="CI47" s="91">
        <v>245494</v>
      </c>
      <c r="CJ47" s="91">
        <f t="shared" si="16"/>
        <v>101337</v>
      </c>
      <c r="CK47" s="91">
        <v>346831</v>
      </c>
    </row>
    <row r="48" spans="1:89" s="21" customFormat="1" ht="12.75" customHeight="1">
      <c r="AO48" s="13"/>
      <c r="AP48" s="13"/>
      <c r="AQ48" s="13"/>
      <c r="AR48" s="13"/>
      <c r="AS48" s="13"/>
      <c r="AT48" s="13"/>
      <c r="AU48" s="13"/>
      <c r="AV48" s="13"/>
      <c r="AW48" s="13"/>
      <c r="AX48" s="36"/>
      <c r="AY48" s="36"/>
      <c r="AZ48" s="36"/>
      <c r="BA48" s="36"/>
      <c r="BB48" s="36"/>
    </row>
    <row r="49" spans="5:61" s="21" customFormat="1" ht="12.75" customHeight="1">
      <c r="AX49" s="36"/>
      <c r="AY49" s="36"/>
      <c r="AZ49" s="36"/>
      <c r="BA49" s="36"/>
      <c r="BB49" s="36"/>
    </row>
    <row r="50" spans="5:61" s="21" customFormat="1" ht="12.75" customHeight="1">
      <c r="AX50" s="36"/>
      <c r="AY50" s="36"/>
      <c r="AZ50" s="36"/>
      <c r="BA50" s="36"/>
      <c r="BB50" s="36"/>
    </row>
    <row r="51" spans="5:61" s="21" customFormat="1" ht="12.75" customHeight="1">
      <c r="AX51" s="36"/>
      <c r="AY51" s="36"/>
      <c r="AZ51" s="36"/>
      <c r="BA51" s="36"/>
      <c r="BB51" s="36"/>
    </row>
    <row r="52" spans="5:61" s="21" customFormat="1" ht="12.75" customHeight="1">
      <c r="AX52" s="36"/>
      <c r="AY52" s="36"/>
      <c r="AZ52" s="36"/>
      <c r="BA52" s="36"/>
      <c r="BB52" s="36"/>
    </row>
    <row r="53" spans="5:61" s="21" customFormat="1" ht="11.25">
      <c r="AX53" s="36"/>
      <c r="AY53" s="36"/>
      <c r="AZ53" s="36"/>
      <c r="BA53" s="36"/>
      <c r="BB53" s="36"/>
      <c r="BI53" s="48"/>
    </row>
    <row r="54" spans="5:61" s="21" customFormat="1" ht="12" customHeight="1"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X54" s="36"/>
      <c r="AY54" s="36"/>
      <c r="AZ54" s="36"/>
      <c r="BA54" s="36"/>
      <c r="BB54" s="36"/>
    </row>
    <row r="55" spans="5:61" s="21" customFormat="1" ht="11.25"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X55" s="36"/>
      <c r="AY55" s="36"/>
      <c r="AZ55" s="36"/>
      <c r="BA55" s="36"/>
      <c r="BB55" s="36"/>
    </row>
    <row r="56" spans="5:61" s="21" customFormat="1" ht="11.25" hidden="1">
      <c r="AX56" s="36"/>
      <c r="AY56" s="36"/>
      <c r="AZ56" s="36"/>
      <c r="BA56" s="36"/>
      <c r="BB56" s="36"/>
    </row>
    <row r="57" spans="5:61" s="21" customFormat="1" ht="11.25">
      <c r="AX57" s="36"/>
      <c r="AY57" s="36"/>
      <c r="AZ57" s="36"/>
      <c r="BA57" s="36"/>
      <c r="BB57" s="36"/>
    </row>
    <row r="58" spans="5:61" s="21" customFormat="1" ht="11.25">
      <c r="AX58" s="36"/>
      <c r="AY58" s="36"/>
      <c r="AZ58" s="36"/>
      <c r="BA58" s="36"/>
      <c r="BB58" s="36"/>
    </row>
    <row r="59" spans="5:61" s="21" customFormat="1" ht="24.75" customHeight="1">
      <c r="AX59" s="36"/>
      <c r="AY59" s="36"/>
      <c r="AZ59" s="36"/>
      <c r="BA59" s="36"/>
      <c r="BB59" s="36"/>
    </row>
    <row r="60" spans="5:61" s="21" customFormat="1" ht="24.75" customHeight="1">
      <c r="AX60" s="36"/>
      <c r="AY60" s="36"/>
      <c r="AZ60" s="36"/>
      <c r="BA60" s="36"/>
      <c r="BB60" s="36"/>
    </row>
    <row r="61" spans="5:61" s="21" customFormat="1" ht="24.75" customHeight="1">
      <c r="AX61" s="36"/>
      <c r="AY61" s="36"/>
      <c r="AZ61" s="36"/>
      <c r="BA61" s="36"/>
      <c r="BB61" s="36"/>
    </row>
    <row r="62" spans="5:61" s="21" customFormat="1" ht="15" customHeight="1">
      <c r="AX62" s="36"/>
      <c r="AY62" s="36"/>
      <c r="AZ62" s="36"/>
      <c r="BA62" s="36"/>
      <c r="BB62" s="36"/>
    </row>
    <row r="63" spans="5:61" s="21" customFormat="1" ht="11.25">
      <c r="AX63" s="36"/>
      <c r="AY63" s="36"/>
      <c r="AZ63" s="36"/>
      <c r="BA63" s="36"/>
      <c r="BB63" s="36"/>
    </row>
    <row r="64" spans="5:61" s="21" customFormat="1" ht="3.75" customHeight="1">
      <c r="AX64" s="36"/>
      <c r="AY64" s="36"/>
      <c r="AZ64" s="36"/>
      <c r="BA64" s="36"/>
      <c r="BB64" s="36"/>
    </row>
    <row r="65" spans="50:89" s="21" customFormat="1" ht="12.75" customHeight="1">
      <c r="AX65" s="36"/>
      <c r="AY65" s="36"/>
      <c r="AZ65" s="36"/>
      <c r="BA65" s="36"/>
      <c r="BB65" s="36"/>
    </row>
    <row r="66" spans="50:89" s="21" customFormat="1" ht="11.25">
      <c r="AX66" s="36"/>
      <c r="AY66" s="36"/>
      <c r="AZ66" s="36"/>
      <c r="BA66" s="36"/>
      <c r="BB66" s="36"/>
    </row>
    <row r="67" spans="50:89" s="21" customFormat="1" ht="11.25">
      <c r="AX67" s="36"/>
      <c r="AY67" s="36"/>
      <c r="AZ67" s="36"/>
      <c r="BA67" s="36"/>
      <c r="BB67" s="36"/>
    </row>
    <row r="68" spans="50:89" s="21" customFormat="1" ht="12.75" customHeight="1">
      <c r="AX68" s="36"/>
      <c r="AY68" s="36"/>
      <c r="AZ68" s="36"/>
      <c r="BA68" s="36"/>
      <c r="BB68" s="36"/>
    </row>
    <row r="69" spans="50:89" s="21" customFormat="1" ht="11.25">
      <c r="AX69" s="36"/>
      <c r="AY69" s="36"/>
      <c r="AZ69" s="36"/>
      <c r="BA69" s="36"/>
      <c r="BB69" s="36"/>
    </row>
    <row r="70" spans="50:89" s="21" customFormat="1" ht="11.25">
      <c r="AX70" s="36"/>
      <c r="AY70" s="36"/>
      <c r="AZ70" s="36"/>
      <c r="BA70" s="36"/>
      <c r="BB70" s="36"/>
    </row>
    <row r="71" spans="50:89" s="21" customFormat="1" ht="11.25">
      <c r="AX71" s="36"/>
      <c r="AY71" s="36"/>
      <c r="AZ71" s="36"/>
      <c r="BA71" s="36"/>
      <c r="BB71" s="36"/>
    </row>
    <row r="72" spans="50:89" s="21" customFormat="1" ht="11.25">
      <c r="AX72" s="36"/>
      <c r="AY72" s="36"/>
      <c r="AZ72" s="36"/>
      <c r="BA72" s="36"/>
      <c r="BB72" s="36"/>
    </row>
    <row r="73" spans="50:89">
      <c r="BX73" s="21"/>
      <c r="BY73" s="21"/>
      <c r="BZ73" s="21"/>
      <c r="CA73" s="21"/>
      <c r="CB73" s="21"/>
      <c r="CC73" s="21"/>
      <c r="CD73" s="21"/>
      <c r="CE73" s="21"/>
      <c r="CF73" s="21"/>
      <c r="CG73" s="21"/>
      <c r="CH73" s="21"/>
      <c r="CI73" s="21"/>
      <c r="CJ73" s="21"/>
      <c r="CK73" s="21"/>
    </row>
    <row r="74" spans="50:89">
      <c r="BX74" s="21"/>
      <c r="BY74" s="21"/>
      <c r="BZ74" s="21"/>
      <c r="CA74" s="21"/>
      <c r="CB74" s="21"/>
      <c r="CC74" s="21"/>
      <c r="CD74" s="21"/>
      <c r="CE74" s="21"/>
      <c r="CF74" s="21"/>
      <c r="CG74" s="21"/>
      <c r="CH74" s="21"/>
      <c r="CI74" s="21"/>
      <c r="CJ74" s="21"/>
      <c r="CK74" s="21"/>
    </row>
    <row r="75" spans="50:89">
      <c r="BX75" s="21"/>
      <c r="BY75" s="21"/>
      <c r="BZ75" s="21"/>
      <c r="CA75" s="21"/>
      <c r="CB75" s="21"/>
      <c r="CC75" s="21"/>
      <c r="CD75" s="21"/>
      <c r="CE75" s="21"/>
      <c r="CF75" s="21"/>
      <c r="CG75" s="21"/>
      <c r="CH75" s="21"/>
      <c r="CI75" s="21"/>
      <c r="CJ75" s="21"/>
      <c r="CK75" s="21"/>
    </row>
    <row r="76" spans="50:89">
      <c r="BX76" s="21"/>
      <c r="BY76" s="21"/>
      <c r="BZ76" s="21"/>
      <c r="CA76" s="21"/>
      <c r="CB76" s="21"/>
      <c r="CC76" s="21"/>
      <c r="CD76" s="21"/>
      <c r="CE76" s="21"/>
      <c r="CF76" s="21"/>
      <c r="CG76" s="21"/>
      <c r="CH76" s="21"/>
      <c r="CI76" s="21"/>
      <c r="CJ76" s="21"/>
      <c r="CK76" s="21"/>
    </row>
    <row r="77" spans="50:89" ht="22.5" customHeight="1">
      <c r="BX77" s="21"/>
      <c r="BY77" s="21"/>
      <c r="BZ77" s="21"/>
      <c r="CA77" s="21"/>
      <c r="CB77" s="21"/>
      <c r="CC77" s="21"/>
      <c r="CD77" s="21"/>
      <c r="CE77" s="21"/>
      <c r="CF77" s="21"/>
      <c r="CG77" s="21"/>
      <c r="CH77" s="21"/>
      <c r="CI77" s="21"/>
      <c r="CJ77" s="21"/>
      <c r="CK77" s="21"/>
    </row>
    <row r="78" spans="50:89">
      <c r="BX78" s="21"/>
      <c r="BY78" s="21"/>
      <c r="BZ78" s="21"/>
      <c r="CA78" s="21"/>
      <c r="CB78" s="21"/>
      <c r="CC78" s="21"/>
      <c r="CD78" s="21"/>
      <c r="CE78" s="21"/>
      <c r="CF78" s="21"/>
      <c r="CG78" s="21"/>
      <c r="CH78" s="21"/>
      <c r="CI78" s="21"/>
      <c r="CJ78" s="21"/>
      <c r="CK78" s="21"/>
    </row>
    <row r="79" spans="50:89">
      <c r="BX79" s="21"/>
      <c r="BY79" s="21"/>
      <c r="BZ79" s="21"/>
      <c r="CA79" s="21"/>
      <c r="CB79" s="21"/>
      <c r="CC79" s="21"/>
      <c r="CD79" s="21"/>
      <c r="CE79" s="21"/>
      <c r="CF79" s="21"/>
      <c r="CG79" s="21"/>
      <c r="CH79" s="21"/>
      <c r="CI79" s="21"/>
      <c r="CJ79" s="21"/>
      <c r="CK79" s="21"/>
    </row>
    <row r="80" spans="50:89">
      <c r="BX80" s="21"/>
      <c r="BY80" s="21"/>
      <c r="BZ80" s="21"/>
      <c r="CA80" s="21"/>
      <c r="CB80" s="21"/>
      <c r="CC80" s="21"/>
      <c r="CD80" s="21"/>
      <c r="CE80" s="21"/>
      <c r="CF80" s="21"/>
      <c r="CG80" s="21"/>
      <c r="CH80" s="21"/>
      <c r="CI80" s="21"/>
      <c r="CJ80" s="21"/>
      <c r="CK80" s="21"/>
    </row>
    <row r="81" spans="76:89">
      <c r="BX81" s="21"/>
      <c r="BY81" s="21"/>
      <c r="BZ81" s="21"/>
      <c r="CA81" s="21"/>
      <c r="CB81" s="21"/>
      <c r="CC81" s="21"/>
      <c r="CD81" s="21"/>
      <c r="CE81" s="21"/>
      <c r="CF81" s="21"/>
      <c r="CG81" s="21"/>
      <c r="CH81" s="21"/>
      <c r="CI81" s="21"/>
      <c r="CJ81" s="21"/>
      <c r="CK81" s="21"/>
    </row>
    <row r="82" spans="76:89">
      <c r="BX82" s="21"/>
      <c r="BY82" s="21"/>
      <c r="BZ82" s="21"/>
      <c r="CA82" s="21"/>
      <c r="CB82" s="21"/>
      <c r="CC82" s="21"/>
      <c r="CD82" s="21"/>
      <c r="CE82" s="21"/>
      <c r="CF82" s="21"/>
      <c r="CG82" s="21"/>
      <c r="CH82" s="21"/>
      <c r="CI82" s="21"/>
      <c r="CJ82" s="21"/>
      <c r="CK82" s="21"/>
    </row>
    <row r="83" spans="76:89">
      <c r="BX83" s="21"/>
      <c r="BY83" s="21"/>
      <c r="BZ83" s="21"/>
      <c r="CA83" s="21"/>
      <c r="CB83" s="21"/>
      <c r="CC83" s="21"/>
      <c r="CD83" s="21"/>
      <c r="CE83" s="21"/>
      <c r="CF83" s="21"/>
      <c r="CG83" s="21"/>
      <c r="CH83" s="21"/>
      <c r="CI83" s="21"/>
      <c r="CJ83" s="21"/>
      <c r="CK83" s="21"/>
    </row>
    <row r="84" spans="76:89">
      <c r="BX84" s="21"/>
      <c r="BY84" s="21"/>
      <c r="BZ84" s="21"/>
      <c r="CA84" s="21"/>
      <c r="CB84" s="21"/>
      <c r="CC84" s="21"/>
      <c r="CD84" s="21"/>
      <c r="CE84" s="21"/>
      <c r="CF84" s="21"/>
      <c r="CG84" s="21"/>
      <c r="CH84" s="21"/>
      <c r="CI84" s="21"/>
      <c r="CJ84" s="21"/>
      <c r="CK84" s="21"/>
    </row>
    <row r="85" spans="76:89">
      <c r="BX85" s="21"/>
      <c r="BY85" s="21"/>
      <c r="BZ85" s="21"/>
      <c r="CA85" s="21"/>
      <c r="CB85" s="21"/>
      <c r="CC85" s="21"/>
      <c r="CD85" s="21"/>
      <c r="CE85" s="21"/>
      <c r="CF85" s="21"/>
      <c r="CG85" s="21"/>
      <c r="CH85" s="21"/>
      <c r="CI85" s="21"/>
      <c r="CJ85" s="21"/>
      <c r="CK85" s="21"/>
    </row>
    <row r="86" spans="76:89">
      <c r="BX86" s="21"/>
      <c r="BY86" s="21"/>
      <c r="BZ86" s="21"/>
      <c r="CA86" s="21"/>
      <c r="CB86" s="21"/>
      <c r="CC86" s="21"/>
      <c r="CD86" s="21"/>
      <c r="CE86" s="21"/>
      <c r="CF86" s="21"/>
      <c r="CG86" s="21"/>
      <c r="CH86" s="21"/>
      <c r="CI86" s="21"/>
      <c r="CJ86" s="21"/>
      <c r="CK86" s="21"/>
    </row>
    <row r="87" spans="76:89">
      <c r="BX87" s="21"/>
      <c r="BY87" s="21"/>
      <c r="BZ87" s="21"/>
      <c r="CA87" s="21"/>
      <c r="CB87" s="21"/>
      <c r="CC87" s="21"/>
      <c r="CD87" s="21"/>
      <c r="CE87" s="21"/>
      <c r="CF87" s="21"/>
      <c r="CG87" s="21"/>
      <c r="CH87" s="21"/>
      <c r="CI87" s="21"/>
      <c r="CJ87" s="21"/>
      <c r="CK87" s="21"/>
    </row>
    <row r="88" spans="76:89">
      <c r="BX88" s="21"/>
      <c r="BY88" s="21"/>
      <c r="BZ88" s="21"/>
      <c r="CA88" s="21"/>
      <c r="CB88" s="21"/>
      <c r="CC88" s="21"/>
      <c r="CD88" s="21"/>
      <c r="CE88" s="21"/>
      <c r="CF88" s="21"/>
      <c r="CG88" s="21"/>
      <c r="CH88" s="21"/>
      <c r="CI88" s="21"/>
      <c r="CJ88" s="21"/>
      <c r="CK88" s="21"/>
    </row>
    <row r="89" spans="76:89">
      <c r="BX89" s="21"/>
      <c r="BY89" s="21"/>
      <c r="BZ89" s="21"/>
      <c r="CA89" s="21"/>
      <c r="CB89" s="21"/>
      <c r="CC89" s="21"/>
      <c r="CD89" s="21"/>
      <c r="CE89" s="21"/>
      <c r="CF89" s="21"/>
      <c r="CG89" s="21"/>
      <c r="CH89" s="21"/>
      <c r="CI89" s="21"/>
      <c r="CJ89" s="21"/>
      <c r="CK89" s="21"/>
    </row>
    <row r="90" spans="76:89">
      <c r="BX90" s="21"/>
      <c r="BY90" s="21"/>
      <c r="BZ90" s="21"/>
      <c r="CA90" s="21"/>
      <c r="CB90" s="21"/>
      <c r="CC90" s="21"/>
      <c r="CD90" s="21"/>
      <c r="CE90" s="21"/>
      <c r="CF90" s="21"/>
      <c r="CG90" s="21"/>
      <c r="CH90" s="21"/>
      <c r="CI90" s="21"/>
      <c r="CJ90" s="21"/>
      <c r="CK90" s="21"/>
    </row>
    <row r="91" spans="76:89">
      <c r="BX91" s="21"/>
      <c r="BY91" s="21"/>
      <c r="BZ91" s="21"/>
      <c r="CA91" s="21"/>
      <c r="CB91" s="21"/>
      <c r="CC91" s="21"/>
      <c r="CD91" s="21"/>
      <c r="CE91" s="21"/>
      <c r="CF91" s="21"/>
      <c r="CG91" s="21"/>
      <c r="CH91" s="21"/>
      <c r="CI91" s="21"/>
      <c r="CJ91" s="21"/>
      <c r="CK91" s="21"/>
    </row>
    <row r="93" spans="76:89" ht="21.75" customHeight="1"/>
    <row r="95" spans="76:89" ht="23.25" customHeight="1"/>
  </sheetData>
  <mergeCells count="6">
    <mergeCell ref="BV3:BW3"/>
    <mergeCell ref="B47:E47"/>
    <mergeCell ref="B43:E43"/>
    <mergeCell ref="A5:E5"/>
    <mergeCell ref="B41:E41"/>
    <mergeCell ref="B33:E33"/>
  </mergeCells>
  <phoneticPr fontId="0" type="noConversion"/>
  <printOptions horizontalCentered="1"/>
  <pageMargins left="0.39370078740157483" right="0.39370078740157483" top="0.43307086614173229" bottom="0.43307086614173229" header="0.51181102362204722" footer="0.51181102362204722"/>
  <pageSetup paperSize="9" scale="96" orientation="landscape" r:id="rId1"/>
  <headerFooter alignWithMargins="0"/>
  <rowBreaks count="1" manualBreakCount="1">
    <brk id="55" max="16383" man="1"/>
  </rowBreaks>
  <ignoredErrors>
    <ignoredError sqref="AB40:AB47 BC61:BW65 BC40:BH60 BI50:BW60 BI7:BK8 BI47:BK48 BS7:BW8 BI40:BJ46 BI49:BR49 BT48:BW49 BV40:BW47 BY40:CK57 BY7:CK38 BV9:BW38 BC9:BJ38 AB7:AB38" unlockedFormula="1"/>
    <ignoredError sqref="BL7:BR8 BL40:BR48 BK40:BK46 BS9:BS22 BS49 BU40:BU47 BS48 BT40:BT47 BT9:BT38 BU9:BU38 BK9:BK38 BL9:BR38" formula="1" unlockedFormula="1"/>
    <ignoredError sqref="BS40:BS47 BS23:BS38" formula="1" formulaRange="1" unlocked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C000"/>
  </sheetPr>
  <dimension ref="A1:AP44"/>
  <sheetViews>
    <sheetView showGridLines="0" workbookViewId="0">
      <selection activeCell="AF22" sqref="AF22"/>
    </sheetView>
  </sheetViews>
  <sheetFormatPr defaultRowHeight="12.75"/>
  <cols>
    <col min="1" max="1" width="12.85546875" style="27" customWidth="1"/>
    <col min="2" max="2" width="64.7109375" style="27" customWidth="1"/>
    <col min="3" max="37" width="10.140625" style="27" customWidth="1"/>
    <col min="38" max="16384" width="9.140625" style="27"/>
  </cols>
  <sheetData>
    <row r="1" spans="1:42" s="3" customFormat="1" ht="26.25">
      <c r="A1" s="1" t="s">
        <v>225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L1" s="12"/>
      <c r="AM1" s="11"/>
      <c r="AP1"/>
    </row>
    <row r="2" spans="1:42" s="3" customFormat="1" ht="26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L2" s="12"/>
      <c r="AM2" s="11"/>
      <c r="AP2"/>
    </row>
    <row r="3" spans="1:42" s="50" customFormat="1" ht="12" thickBot="1">
      <c r="A3" s="81" t="s">
        <v>277</v>
      </c>
    </row>
    <row r="4" spans="1:42" s="231" customFormat="1" ht="34.5" thickBot="1">
      <c r="A4" s="254" t="s">
        <v>187</v>
      </c>
      <c r="B4" s="254"/>
      <c r="C4" s="51" t="s">
        <v>278</v>
      </c>
      <c r="D4" s="51" t="s">
        <v>300</v>
      </c>
      <c r="E4" s="51" t="s">
        <v>298</v>
      </c>
      <c r="F4" s="51" t="s">
        <v>303</v>
      </c>
      <c r="G4" s="51" t="s">
        <v>289</v>
      </c>
      <c r="H4" s="51" t="s">
        <v>307</v>
      </c>
      <c r="I4" s="51" t="s">
        <v>304</v>
      </c>
      <c r="J4" s="51" t="s">
        <v>232</v>
      </c>
      <c r="K4" s="51" t="s">
        <v>241</v>
      </c>
      <c r="L4" s="51" t="s">
        <v>233</v>
      </c>
      <c r="M4" s="51" t="s">
        <v>242</v>
      </c>
      <c r="N4" s="51" t="s">
        <v>240</v>
      </c>
      <c r="O4" s="51" t="s">
        <v>246</v>
      </c>
      <c r="P4" s="51" t="s">
        <v>245</v>
      </c>
      <c r="Q4" s="51" t="s">
        <v>186</v>
      </c>
      <c r="R4" s="51" t="s">
        <v>226</v>
      </c>
      <c r="S4" s="51" t="s">
        <v>185</v>
      </c>
      <c r="T4" s="51" t="s">
        <v>229</v>
      </c>
      <c r="U4" s="51" t="s">
        <v>228</v>
      </c>
      <c r="V4" s="51" t="s">
        <v>231</v>
      </c>
      <c r="W4" s="51" t="s">
        <v>230</v>
      </c>
      <c r="X4" s="51" t="s">
        <v>180</v>
      </c>
      <c r="Y4" s="51" t="s">
        <v>227</v>
      </c>
      <c r="Z4" s="51" t="s">
        <v>179</v>
      </c>
      <c r="AA4" s="51" t="s">
        <v>182</v>
      </c>
      <c r="AB4" s="51" t="s">
        <v>178</v>
      </c>
      <c r="AC4" s="51" t="s">
        <v>184</v>
      </c>
      <c r="AD4" s="51" t="s">
        <v>183</v>
      </c>
      <c r="AE4" s="51" t="s">
        <v>174</v>
      </c>
      <c r="AF4" s="51" t="s">
        <v>175</v>
      </c>
      <c r="AG4" s="51" t="s">
        <v>173</v>
      </c>
      <c r="AH4" s="51" t="s">
        <v>176</v>
      </c>
      <c r="AI4" s="51" t="s">
        <v>172</v>
      </c>
      <c r="AJ4" s="51" t="s">
        <v>177</v>
      </c>
      <c r="AK4" s="51" t="s">
        <v>171</v>
      </c>
    </row>
    <row r="5" spans="1:42" s="50" customFormat="1" ht="11.25">
      <c r="A5" s="52" t="s">
        <v>188</v>
      </c>
      <c r="B5" s="53" t="s">
        <v>68</v>
      </c>
      <c r="C5" s="54">
        <v>288114</v>
      </c>
      <c r="D5" s="54">
        <v>282005</v>
      </c>
      <c r="E5" s="54">
        <f>+C5+D5</f>
        <v>570119</v>
      </c>
      <c r="F5" s="54">
        <v>280218</v>
      </c>
      <c r="G5" s="54">
        <f>+E5+F5</f>
        <v>850337</v>
      </c>
      <c r="H5" s="54">
        <f>+I5-G5</f>
        <v>274142</v>
      </c>
      <c r="I5" s="54">
        <v>1124479</v>
      </c>
      <c r="J5" s="54">
        <v>296800</v>
      </c>
      <c r="K5" s="54">
        <v>293576</v>
      </c>
      <c r="L5" s="54">
        <f>+J5+K5</f>
        <v>590376</v>
      </c>
      <c r="M5" s="54">
        <v>285728</v>
      </c>
      <c r="N5" s="54">
        <v>876104</v>
      </c>
      <c r="O5" s="54">
        <v>294343</v>
      </c>
      <c r="P5" s="54">
        <v>1170447</v>
      </c>
      <c r="Q5" s="54">
        <v>314095</v>
      </c>
      <c r="R5" s="54">
        <v>308370</v>
      </c>
      <c r="S5" s="54">
        <v>622465</v>
      </c>
      <c r="T5" s="54">
        <v>302036</v>
      </c>
      <c r="U5" s="54">
        <v>924501</v>
      </c>
      <c r="V5" s="54">
        <v>303040</v>
      </c>
      <c r="W5" s="54">
        <v>1227541</v>
      </c>
      <c r="X5" s="54">
        <v>329820</v>
      </c>
      <c r="Y5" s="54">
        <v>328639</v>
      </c>
      <c r="Z5" s="54">
        <v>658459</v>
      </c>
      <c r="AA5" s="54">
        <v>320040</v>
      </c>
      <c r="AB5" s="54">
        <v>978499</v>
      </c>
      <c r="AC5" s="54">
        <v>313310</v>
      </c>
      <c r="AD5" s="54">
        <v>1291809</v>
      </c>
      <c r="AE5" s="54">
        <v>311115</v>
      </c>
      <c r="AF5" s="54">
        <v>326081</v>
      </c>
      <c r="AG5" s="54">
        <v>637196</v>
      </c>
      <c r="AH5" s="54">
        <v>326987</v>
      </c>
      <c r="AI5" s="54">
        <v>964183</v>
      </c>
      <c r="AJ5" s="54">
        <v>325806</v>
      </c>
      <c r="AK5" s="54">
        <v>1289989</v>
      </c>
    </row>
    <row r="6" spans="1:42" s="50" customFormat="1" ht="11.25">
      <c r="A6" s="55" t="s">
        <v>189</v>
      </c>
      <c r="B6" s="56" t="s">
        <v>204</v>
      </c>
      <c r="C6" s="57">
        <v>177373</v>
      </c>
      <c r="D6" s="57">
        <v>181851</v>
      </c>
      <c r="E6" s="57">
        <f t="shared" ref="E6:E29" si="0">+C6+D6</f>
        <v>359224</v>
      </c>
      <c r="F6" s="57">
        <v>184802</v>
      </c>
      <c r="G6" s="57">
        <f t="shared" ref="G6:G29" si="1">+E6+F6</f>
        <v>544026</v>
      </c>
      <c r="H6" s="57">
        <f t="shared" ref="H6:H29" si="2">+I6-G6</f>
        <v>196602</v>
      </c>
      <c r="I6" s="57">
        <v>740628</v>
      </c>
      <c r="J6" s="57">
        <v>177083</v>
      </c>
      <c r="K6" s="57">
        <v>181035</v>
      </c>
      <c r="L6" s="57">
        <f t="shared" ref="L6:L29" si="3">+J6+K6</f>
        <v>358118</v>
      </c>
      <c r="M6" s="57">
        <v>174803</v>
      </c>
      <c r="N6" s="57">
        <v>532921</v>
      </c>
      <c r="O6" s="57">
        <v>179801</v>
      </c>
      <c r="P6" s="57">
        <v>712722</v>
      </c>
      <c r="Q6" s="57">
        <v>179203</v>
      </c>
      <c r="R6" s="57">
        <v>180650</v>
      </c>
      <c r="S6" s="57">
        <v>359853</v>
      </c>
      <c r="T6" s="57">
        <v>177844</v>
      </c>
      <c r="U6" s="57">
        <v>537697</v>
      </c>
      <c r="V6" s="57">
        <v>188996</v>
      </c>
      <c r="W6" s="57">
        <v>726693</v>
      </c>
      <c r="X6" s="57">
        <v>171450</v>
      </c>
      <c r="Y6" s="57">
        <v>174028</v>
      </c>
      <c r="Z6" s="57">
        <v>345478</v>
      </c>
      <c r="AA6" s="57">
        <v>169012</v>
      </c>
      <c r="AB6" s="57">
        <v>514490</v>
      </c>
      <c r="AC6" s="57">
        <v>176174</v>
      </c>
      <c r="AD6" s="57">
        <v>690664</v>
      </c>
      <c r="AE6" s="57">
        <v>171289</v>
      </c>
      <c r="AF6" s="57">
        <v>175522</v>
      </c>
      <c r="AG6" s="57">
        <v>346811</v>
      </c>
      <c r="AH6" s="57">
        <v>172675</v>
      </c>
      <c r="AI6" s="57">
        <v>519486</v>
      </c>
      <c r="AJ6" s="57">
        <v>178772</v>
      </c>
      <c r="AK6" s="57">
        <v>698258</v>
      </c>
    </row>
    <row r="7" spans="1:42" s="50" customFormat="1" ht="11.25">
      <c r="A7" s="55" t="s">
        <v>190</v>
      </c>
      <c r="B7" s="56" t="s">
        <v>205</v>
      </c>
      <c r="C7" s="57">
        <v>312</v>
      </c>
      <c r="D7" s="57">
        <v>10812</v>
      </c>
      <c r="E7" s="57">
        <f t="shared" si="0"/>
        <v>11124</v>
      </c>
      <c r="F7" s="57">
        <v>507</v>
      </c>
      <c r="G7" s="57">
        <f t="shared" si="1"/>
        <v>11631</v>
      </c>
      <c r="H7" s="57">
        <f t="shared" si="2"/>
        <v>785</v>
      </c>
      <c r="I7" s="57">
        <v>12416</v>
      </c>
      <c r="J7" s="57">
        <v>86</v>
      </c>
      <c r="K7" s="57">
        <v>8732</v>
      </c>
      <c r="L7" s="57">
        <f t="shared" si="3"/>
        <v>8818</v>
      </c>
      <c r="M7" s="57">
        <v>338</v>
      </c>
      <c r="N7" s="57">
        <v>9156</v>
      </c>
      <c r="O7" s="57">
        <v>716</v>
      </c>
      <c r="P7" s="57">
        <v>9872</v>
      </c>
      <c r="Q7" s="57">
        <v>249</v>
      </c>
      <c r="R7" s="57">
        <v>13583</v>
      </c>
      <c r="S7" s="57">
        <v>13832</v>
      </c>
      <c r="T7" s="57">
        <v>457</v>
      </c>
      <c r="U7" s="57">
        <v>14289</v>
      </c>
      <c r="V7" s="57">
        <v>1664</v>
      </c>
      <c r="W7" s="57">
        <v>15953</v>
      </c>
      <c r="X7" s="57">
        <v>574</v>
      </c>
      <c r="Y7" s="57">
        <v>17617</v>
      </c>
      <c r="Z7" s="57">
        <v>18191</v>
      </c>
      <c r="AA7" s="57">
        <v>115</v>
      </c>
      <c r="AB7" s="57">
        <v>18306</v>
      </c>
      <c r="AC7" s="57">
        <v>1086</v>
      </c>
      <c r="AD7" s="57">
        <v>19392</v>
      </c>
      <c r="AE7" s="57">
        <v>575</v>
      </c>
      <c r="AF7" s="57">
        <v>22415</v>
      </c>
      <c r="AG7" s="57">
        <v>22990</v>
      </c>
      <c r="AH7" s="57">
        <v>540</v>
      </c>
      <c r="AI7" s="57">
        <v>23530</v>
      </c>
      <c r="AJ7" s="57">
        <v>556</v>
      </c>
      <c r="AK7" s="57">
        <v>24086</v>
      </c>
    </row>
    <row r="8" spans="1:42" s="50" customFormat="1" ht="11.25">
      <c r="A8" s="58" t="s">
        <v>191</v>
      </c>
      <c r="B8" s="56" t="s">
        <v>206</v>
      </c>
      <c r="C8" s="57">
        <v>24664</v>
      </c>
      <c r="D8" s="57">
        <v>25869</v>
      </c>
      <c r="E8" s="57">
        <f t="shared" si="0"/>
        <v>50533</v>
      </c>
      <c r="F8" s="57">
        <v>20489</v>
      </c>
      <c r="G8" s="57">
        <f t="shared" si="1"/>
        <v>71022</v>
      </c>
      <c r="H8" s="57">
        <f t="shared" si="2"/>
        <v>32112</v>
      </c>
      <c r="I8" s="57">
        <v>103134</v>
      </c>
      <c r="J8" s="57">
        <v>15662</v>
      </c>
      <c r="K8" s="57">
        <v>49064</v>
      </c>
      <c r="L8" s="57">
        <f t="shared" si="3"/>
        <v>64726</v>
      </c>
      <c r="M8" s="57">
        <v>25518</v>
      </c>
      <c r="N8" s="57">
        <v>90244</v>
      </c>
      <c r="O8" s="57">
        <v>29755</v>
      </c>
      <c r="P8" s="57">
        <v>119999</v>
      </c>
      <c r="Q8" s="57">
        <v>46058</v>
      </c>
      <c r="R8" s="57">
        <v>15463</v>
      </c>
      <c r="S8" s="57">
        <v>61521</v>
      </c>
      <c r="T8" s="57">
        <v>20361</v>
      </c>
      <c r="U8" s="57">
        <v>81882</v>
      </c>
      <c r="V8" s="57">
        <v>266002</v>
      </c>
      <c r="W8" s="57">
        <v>347884</v>
      </c>
      <c r="X8" s="57">
        <v>63300</v>
      </c>
      <c r="Y8" s="57">
        <v>46389</v>
      </c>
      <c r="Z8" s="57">
        <v>109689</v>
      </c>
      <c r="AA8" s="57">
        <v>20323</v>
      </c>
      <c r="AB8" s="57">
        <v>130012</v>
      </c>
      <c r="AC8" s="57">
        <v>37653</v>
      </c>
      <c r="AD8" s="57">
        <v>167665</v>
      </c>
      <c r="AE8" s="57">
        <v>14656</v>
      </c>
      <c r="AF8" s="57">
        <v>68209</v>
      </c>
      <c r="AG8" s="57">
        <v>82865</v>
      </c>
      <c r="AH8" s="57">
        <v>15494</v>
      </c>
      <c r="AI8" s="57">
        <v>98359</v>
      </c>
      <c r="AJ8" s="57">
        <v>40750</v>
      </c>
      <c r="AK8" s="57">
        <v>139109</v>
      </c>
    </row>
    <row r="9" spans="1:42" s="50" customFormat="1" ht="11.25">
      <c r="A9" s="55" t="s">
        <v>247</v>
      </c>
      <c r="B9" s="56" t="s">
        <v>207</v>
      </c>
      <c r="C9" s="57">
        <v>10310</v>
      </c>
      <c r="D9" s="57">
        <v>14298</v>
      </c>
      <c r="E9" s="57">
        <f t="shared" si="0"/>
        <v>24608</v>
      </c>
      <c r="F9" s="57">
        <v>23565</v>
      </c>
      <c r="G9" s="57">
        <f t="shared" si="1"/>
        <v>48173</v>
      </c>
      <c r="H9" s="57">
        <f t="shared" si="2"/>
        <v>10017</v>
      </c>
      <c r="I9" s="57">
        <v>58190</v>
      </c>
      <c r="J9" s="57">
        <v>15538</v>
      </c>
      <c r="K9" s="57">
        <v>16430</v>
      </c>
      <c r="L9" s="57">
        <f t="shared" si="3"/>
        <v>31968</v>
      </c>
      <c r="M9" s="57">
        <v>13605</v>
      </c>
      <c r="N9" s="57">
        <v>45573</v>
      </c>
      <c r="O9" s="57">
        <v>8665</v>
      </c>
      <c r="P9" s="57">
        <v>54238</v>
      </c>
      <c r="Q9" s="57">
        <v>15443</v>
      </c>
      <c r="R9" s="57">
        <v>9269</v>
      </c>
      <c r="S9" s="57">
        <v>24712</v>
      </c>
      <c r="T9" s="57">
        <v>12274</v>
      </c>
      <c r="U9" s="57">
        <v>36986</v>
      </c>
      <c r="V9" s="57">
        <v>15516</v>
      </c>
      <c r="W9" s="57">
        <v>52502</v>
      </c>
      <c r="X9" s="57">
        <v>18666</v>
      </c>
      <c r="Y9" s="57">
        <v>11133</v>
      </c>
      <c r="Z9" s="57">
        <v>29799</v>
      </c>
      <c r="AA9" s="57">
        <v>5851</v>
      </c>
      <c r="AB9" s="57">
        <v>35650</v>
      </c>
      <c r="AC9" s="57">
        <v>12215</v>
      </c>
      <c r="AD9" s="57">
        <v>47865</v>
      </c>
      <c r="AE9" s="57">
        <v>30964</v>
      </c>
      <c r="AF9" s="57">
        <v>24573</v>
      </c>
      <c r="AG9" s="57">
        <v>55537</v>
      </c>
      <c r="AH9" s="57">
        <v>20102</v>
      </c>
      <c r="AI9" s="57">
        <v>75639</v>
      </c>
      <c r="AJ9" s="57">
        <v>19754</v>
      </c>
      <c r="AK9" s="57">
        <v>95393</v>
      </c>
    </row>
    <row r="10" spans="1:42" s="50" customFormat="1" ht="11.25">
      <c r="A10" s="59"/>
      <c r="B10" s="60" t="s">
        <v>208</v>
      </c>
      <c r="C10" s="61">
        <v>500773</v>
      </c>
      <c r="D10" s="61">
        <v>514835</v>
      </c>
      <c r="E10" s="61">
        <f t="shared" si="0"/>
        <v>1015608</v>
      </c>
      <c r="F10" s="61">
        <v>509581</v>
      </c>
      <c r="G10" s="61">
        <f t="shared" si="1"/>
        <v>1525189</v>
      </c>
      <c r="H10" s="61">
        <f t="shared" si="2"/>
        <v>513658</v>
      </c>
      <c r="I10" s="61">
        <v>2038847</v>
      </c>
      <c r="J10" s="61">
        <v>505169</v>
      </c>
      <c r="K10" s="61">
        <v>548837</v>
      </c>
      <c r="L10" s="61">
        <f t="shared" si="3"/>
        <v>1054006</v>
      </c>
      <c r="M10" s="61">
        <v>499992</v>
      </c>
      <c r="N10" s="61">
        <v>1553998</v>
      </c>
      <c r="O10" s="61">
        <v>513280</v>
      </c>
      <c r="P10" s="61">
        <v>2067278</v>
      </c>
      <c r="Q10" s="61">
        <v>555048</v>
      </c>
      <c r="R10" s="61">
        <v>527335</v>
      </c>
      <c r="S10" s="61">
        <v>1082383</v>
      </c>
      <c r="T10" s="61">
        <v>512972</v>
      </c>
      <c r="U10" s="61">
        <v>1595355</v>
      </c>
      <c r="V10" s="61">
        <v>775218</v>
      </c>
      <c r="W10" s="61">
        <v>2370573</v>
      </c>
      <c r="X10" s="61">
        <v>583810</v>
      </c>
      <c r="Y10" s="61">
        <v>577806</v>
      </c>
      <c r="Z10" s="61">
        <v>1161616</v>
      </c>
      <c r="AA10" s="61">
        <v>515341</v>
      </c>
      <c r="AB10" s="61">
        <v>1676957</v>
      </c>
      <c r="AC10" s="61">
        <v>540438</v>
      </c>
      <c r="AD10" s="61">
        <v>2217395</v>
      </c>
      <c r="AE10" s="61">
        <v>528599</v>
      </c>
      <c r="AF10" s="61">
        <v>616800</v>
      </c>
      <c r="AG10" s="61">
        <v>1145399</v>
      </c>
      <c r="AH10" s="61">
        <v>535798</v>
      </c>
      <c r="AI10" s="61">
        <v>1681197</v>
      </c>
      <c r="AJ10" s="61">
        <v>565638</v>
      </c>
      <c r="AK10" s="61">
        <v>2246835</v>
      </c>
    </row>
    <row r="11" spans="1:42" s="50" customFormat="1" ht="11.25">
      <c r="A11" s="62" t="s">
        <v>192</v>
      </c>
      <c r="B11" s="63" t="s">
        <v>209</v>
      </c>
      <c r="C11" s="64">
        <v>-194125</v>
      </c>
      <c r="D11" s="64">
        <v>-191551</v>
      </c>
      <c r="E11" s="64">
        <f t="shared" si="0"/>
        <v>-385676</v>
      </c>
      <c r="F11" s="64">
        <v>-191656</v>
      </c>
      <c r="G11" s="64">
        <f t="shared" si="1"/>
        <v>-577332</v>
      </c>
      <c r="H11" s="64">
        <f t="shared" si="2"/>
        <v>-206146</v>
      </c>
      <c r="I11" s="64">
        <v>-783478</v>
      </c>
      <c r="J11" s="64">
        <v>-196586</v>
      </c>
      <c r="K11" s="64">
        <v>-201655</v>
      </c>
      <c r="L11" s="64">
        <f t="shared" si="3"/>
        <v>-398241</v>
      </c>
      <c r="M11" s="64">
        <v>-176168</v>
      </c>
      <c r="N11" s="64">
        <v>-574409</v>
      </c>
      <c r="O11" s="64">
        <v>-194740</v>
      </c>
      <c r="P11" s="64">
        <v>-769149</v>
      </c>
      <c r="Q11" s="64">
        <v>-199322</v>
      </c>
      <c r="R11" s="64">
        <v>-196883</v>
      </c>
      <c r="S11" s="64">
        <v>-396205</v>
      </c>
      <c r="T11" s="64">
        <v>-232374</v>
      </c>
      <c r="U11" s="64">
        <v>-628579</v>
      </c>
      <c r="V11" s="64">
        <v>-196474</v>
      </c>
      <c r="W11" s="64">
        <v>-825053</v>
      </c>
      <c r="X11" s="64">
        <v>-196796</v>
      </c>
      <c r="Y11" s="64">
        <v>-201099</v>
      </c>
      <c r="Z11" s="64">
        <v>-397895</v>
      </c>
      <c r="AA11" s="64">
        <v>-180006</v>
      </c>
      <c r="AB11" s="64">
        <v>-577901</v>
      </c>
      <c r="AC11" s="64">
        <v>-208786</v>
      </c>
      <c r="AD11" s="64">
        <v>-786687</v>
      </c>
      <c r="AE11" s="64">
        <v>-198440</v>
      </c>
      <c r="AF11" s="64">
        <v>-208169</v>
      </c>
      <c r="AG11" s="64">
        <v>-406609</v>
      </c>
      <c r="AH11" s="64">
        <v>-185171</v>
      </c>
      <c r="AI11" s="64">
        <v>-591780</v>
      </c>
      <c r="AJ11" s="64">
        <v>-195699</v>
      </c>
      <c r="AK11" s="64">
        <v>-787479</v>
      </c>
    </row>
    <row r="12" spans="1:42" s="50" customFormat="1" ht="11.25">
      <c r="A12" s="55" t="s">
        <v>248</v>
      </c>
      <c r="B12" s="56" t="s">
        <v>210</v>
      </c>
      <c r="C12" s="57">
        <v>-96628</v>
      </c>
      <c r="D12" s="57">
        <v>-104864</v>
      </c>
      <c r="E12" s="57">
        <f t="shared" si="0"/>
        <v>-201492</v>
      </c>
      <c r="F12" s="57">
        <v>-107465</v>
      </c>
      <c r="G12" s="57">
        <f t="shared" si="1"/>
        <v>-308957</v>
      </c>
      <c r="H12" s="57">
        <f t="shared" si="2"/>
        <v>-116654</v>
      </c>
      <c r="I12" s="57">
        <v>-425611</v>
      </c>
      <c r="J12" s="57">
        <v>-101125</v>
      </c>
      <c r="K12" s="57">
        <v>-102758</v>
      </c>
      <c r="L12" s="57">
        <f t="shared" si="3"/>
        <v>-203883</v>
      </c>
      <c r="M12" s="57">
        <v>-106098</v>
      </c>
      <c r="N12" s="57">
        <v>-309981</v>
      </c>
      <c r="O12" s="57">
        <v>-107236</v>
      </c>
      <c r="P12" s="57">
        <v>-417217</v>
      </c>
      <c r="Q12" s="57">
        <v>-93620</v>
      </c>
      <c r="R12" s="57">
        <v>-103392</v>
      </c>
      <c r="S12" s="57">
        <v>-197012</v>
      </c>
      <c r="T12" s="57">
        <v>-95698</v>
      </c>
      <c r="U12" s="57">
        <v>-292710</v>
      </c>
      <c r="V12" s="57">
        <v>-107912</v>
      </c>
      <c r="W12" s="57">
        <v>-400622</v>
      </c>
      <c r="X12" s="57">
        <v>-96338</v>
      </c>
      <c r="Y12" s="57">
        <v>-103322</v>
      </c>
      <c r="Z12" s="57">
        <v>-199660</v>
      </c>
      <c r="AA12" s="57">
        <v>-97940</v>
      </c>
      <c r="AB12" s="57">
        <v>-297600</v>
      </c>
      <c r="AC12" s="57">
        <v>-106786</v>
      </c>
      <c r="AD12" s="57">
        <v>-404386</v>
      </c>
      <c r="AE12" s="57">
        <v>-97702</v>
      </c>
      <c r="AF12" s="57">
        <v>-100767</v>
      </c>
      <c r="AG12" s="57">
        <v>-198469</v>
      </c>
      <c r="AH12" s="57">
        <v>-98176</v>
      </c>
      <c r="AI12" s="57">
        <v>-296645</v>
      </c>
      <c r="AJ12" s="57">
        <v>-108703</v>
      </c>
      <c r="AK12" s="57">
        <v>-405348</v>
      </c>
    </row>
    <row r="13" spans="1:42" s="50" customFormat="1" ht="11.25">
      <c r="A13" s="55" t="s">
        <v>193</v>
      </c>
      <c r="B13" s="56" t="s">
        <v>211</v>
      </c>
      <c r="C13" s="57">
        <v>-18685</v>
      </c>
      <c r="D13" s="57">
        <v>-22012</v>
      </c>
      <c r="E13" s="57">
        <f t="shared" si="0"/>
        <v>-40697</v>
      </c>
      <c r="F13" s="57">
        <v>-20653</v>
      </c>
      <c r="G13" s="57">
        <f t="shared" si="1"/>
        <v>-61350</v>
      </c>
      <c r="H13" s="57">
        <f t="shared" si="2"/>
        <v>-26079</v>
      </c>
      <c r="I13" s="57">
        <v>-87429</v>
      </c>
      <c r="J13" s="57">
        <v>-17084</v>
      </c>
      <c r="K13" s="57">
        <v>-20443</v>
      </c>
      <c r="L13" s="57">
        <f t="shared" si="3"/>
        <v>-37527</v>
      </c>
      <c r="M13" s="57">
        <v>-17943</v>
      </c>
      <c r="N13" s="57">
        <v>-55470</v>
      </c>
      <c r="O13" s="57">
        <v>-25125</v>
      </c>
      <c r="P13" s="57">
        <v>-80595</v>
      </c>
      <c r="Q13" s="57">
        <v>-17330</v>
      </c>
      <c r="R13" s="57">
        <v>-17087</v>
      </c>
      <c r="S13" s="57">
        <v>-34417</v>
      </c>
      <c r="T13" s="57">
        <v>-17495</v>
      </c>
      <c r="U13" s="57">
        <v>-51912</v>
      </c>
      <c r="V13" s="57">
        <v>-28337</v>
      </c>
      <c r="W13" s="57">
        <v>-80249</v>
      </c>
      <c r="X13" s="57">
        <v>-16357</v>
      </c>
      <c r="Y13" s="57">
        <v>-16613</v>
      </c>
      <c r="Z13" s="57">
        <v>-32970</v>
      </c>
      <c r="AA13" s="57">
        <v>-17015</v>
      </c>
      <c r="AB13" s="57">
        <v>-49985</v>
      </c>
      <c r="AC13" s="57">
        <v>-20401</v>
      </c>
      <c r="AD13" s="57">
        <v>-70386</v>
      </c>
      <c r="AE13" s="57">
        <v>-15039</v>
      </c>
      <c r="AF13" s="57">
        <v>-15462</v>
      </c>
      <c r="AG13" s="57">
        <v>-30501</v>
      </c>
      <c r="AH13" s="57">
        <v>-15742</v>
      </c>
      <c r="AI13" s="57">
        <v>-46243</v>
      </c>
      <c r="AJ13" s="57">
        <v>-19759</v>
      </c>
      <c r="AK13" s="57">
        <v>-66002</v>
      </c>
    </row>
    <row r="14" spans="1:42" s="50" customFormat="1" ht="11.25">
      <c r="A14" s="65"/>
      <c r="B14" s="60" t="s">
        <v>212</v>
      </c>
      <c r="C14" s="61">
        <v>-309438</v>
      </c>
      <c r="D14" s="61">
        <v>-318427</v>
      </c>
      <c r="E14" s="61">
        <f t="shared" si="0"/>
        <v>-627865</v>
      </c>
      <c r="F14" s="61">
        <v>-319774</v>
      </c>
      <c r="G14" s="61">
        <f t="shared" si="1"/>
        <v>-947639</v>
      </c>
      <c r="H14" s="61">
        <f t="shared" si="2"/>
        <v>-348879</v>
      </c>
      <c r="I14" s="61">
        <v>-1296518</v>
      </c>
      <c r="J14" s="61">
        <v>-314795</v>
      </c>
      <c r="K14" s="61">
        <v>-324856</v>
      </c>
      <c r="L14" s="61">
        <f t="shared" si="3"/>
        <v>-639651</v>
      </c>
      <c r="M14" s="61">
        <v>-300209</v>
      </c>
      <c r="N14" s="61">
        <v>-939860</v>
      </c>
      <c r="O14" s="61">
        <v>-327101</v>
      </c>
      <c r="P14" s="61">
        <v>-1266961</v>
      </c>
      <c r="Q14" s="61">
        <v>-310272</v>
      </c>
      <c r="R14" s="61">
        <v>-317362</v>
      </c>
      <c r="S14" s="61">
        <v>-627634</v>
      </c>
      <c r="T14" s="61">
        <v>-345567</v>
      </c>
      <c r="U14" s="61">
        <v>-973201</v>
      </c>
      <c r="V14" s="61">
        <v>-332723</v>
      </c>
      <c r="W14" s="61">
        <v>-1305924</v>
      </c>
      <c r="X14" s="61">
        <v>-309491</v>
      </c>
      <c r="Y14" s="61">
        <v>-321034</v>
      </c>
      <c r="Z14" s="61">
        <v>-630525</v>
      </c>
      <c r="AA14" s="61">
        <v>-294961</v>
      </c>
      <c r="AB14" s="61">
        <v>-925486</v>
      </c>
      <c r="AC14" s="61">
        <v>-335973</v>
      </c>
      <c r="AD14" s="61">
        <v>-1261459</v>
      </c>
      <c r="AE14" s="61">
        <v>-311181</v>
      </c>
      <c r="AF14" s="61">
        <v>-324398</v>
      </c>
      <c r="AG14" s="61">
        <v>-635579</v>
      </c>
      <c r="AH14" s="61">
        <v>-299089</v>
      </c>
      <c r="AI14" s="61">
        <v>-934668</v>
      </c>
      <c r="AJ14" s="61">
        <v>-324161</v>
      </c>
      <c r="AK14" s="61">
        <v>-1258829</v>
      </c>
    </row>
    <row r="15" spans="1:42" s="50" customFormat="1" ht="11.25">
      <c r="A15" s="66"/>
      <c r="B15" s="67" t="s">
        <v>213</v>
      </c>
      <c r="C15" s="68">
        <v>191335</v>
      </c>
      <c r="D15" s="68">
        <v>196408</v>
      </c>
      <c r="E15" s="68">
        <f t="shared" si="0"/>
        <v>387743</v>
      </c>
      <c r="F15" s="68">
        <v>189807</v>
      </c>
      <c r="G15" s="68">
        <f t="shared" si="1"/>
        <v>577550</v>
      </c>
      <c r="H15" s="68">
        <f t="shared" si="2"/>
        <v>164779</v>
      </c>
      <c r="I15" s="68">
        <v>742329</v>
      </c>
      <c r="J15" s="68">
        <v>190374</v>
      </c>
      <c r="K15" s="68">
        <v>223981</v>
      </c>
      <c r="L15" s="68">
        <f t="shared" si="3"/>
        <v>414355</v>
      </c>
      <c r="M15" s="68">
        <v>199783</v>
      </c>
      <c r="N15" s="68">
        <v>614138</v>
      </c>
      <c r="O15" s="68">
        <v>186179</v>
      </c>
      <c r="P15" s="68">
        <v>800317</v>
      </c>
      <c r="Q15" s="68">
        <v>244776</v>
      </c>
      <c r="R15" s="68">
        <v>209973</v>
      </c>
      <c r="S15" s="68">
        <v>454749</v>
      </c>
      <c r="T15" s="68">
        <v>167405</v>
      </c>
      <c r="U15" s="68">
        <v>622154</v>
      </c>
      <c r="V15" s="68">
        <v>442495</v>
      </c>
      <c r="W15" s="68">
        <v>1064649</v>
      </c>
      <c r="X15" s="68">
        <v>274319</v>
      </c>
      <c r="Y15" s="68">
        <v>256772</v>
      </c>
      <c r="Z15" s="68">
        <v>531091</v>
      </c>
      <c r="AA15" s="68">
        <v>220380</v>
      </c>
      <c r="AB15" s="68">
        <v>751471</v>
      </c>
      <c r="AC15" s="68">
        <v>204465</v>
      </c>
      <c r="AD15" s="68">
        <v>955936</v>
      </c>
      <c r="AE15" s="68">
        <v>217418</v>
      </c>
      <c r="AF15" s="68">
        <v>292402</v>
      </c>
      <c r="AG15" s="68">
        <v>509820</v>
      </c>
      <c r="AH15" s="68">
        <v>236709</v>
      </c>
      <c r="AI15" s="68">
        <v>746529</v>
      </c>
      <c r="AJ15" s="68">
        <v>241477</v>
      </c>
      <c r="AK15" s="68">
        <v>988006</v>
      </c>
    </row>
    <row r="16" spans="1:42" s="50" customFormat="1" ht="11.25">
      <c r="A16" s="55" t="s">
        <v>194</v>
      </c>
      <c r="B16" s="56" t="s">
        <v>214</v>
      </c>
      <c r="C16" s="57">
        <v>-133573</v>
      </c>
      <c r="D16" s="57">
        <v>-189659</v>
      </c>
      <c r="E16" s="57">
        <f t="shared" si="0"/>
        <v>-323232</v>
      </c>
      <c r="F16" s="57">
        <v>-89722</v>
      </c>
      <c r="G16" s="57">
        <f t="shared" si="1"/>
        <v>-412954</v>
      </c>
      <c r="H16" s="57">
        <f t="shared" si="2"/>
        <v>-123021</v>
      </c>
      <c r="I16" s="57">
        <v>-535975</v>
      </c>
      <c r="J16" s="57">
        <v>-114167</v>
      </c>
      <c r="K16" s="57">
        <v>-161935</v>
      </c>
      <c r="L16" s="57">
        <f t="shared" si="3"/>
        <v>-276102</v>
      </c>
      <c r="M16" s="57">
        <v>-124578</v>
      </c>
      <c r="N16" s="57">
        <v>-400680</v>
      </c>
      <c r="O16" s="57">
        <v>-219070</v>
      </c>
      <c r="P16" s="57">
        <v>-619750</v>
      </c>
      <c r="Q16" s="57">
        <v>-147504</v>
      </c>
      <c r="R16" s="57">
        <v>-150237</v>
      </c>
      <c r="S16" s="57">
        <v>-297741</v>
      </c>
      <c r="T16" s="57">
        <v>-127156</v>
      </c>
      <c r="U16" s="57">
        <v>-424897</v>
      </c>
      <c r="V16" s="57">
        <v>-280902</v>
      </c>
      <c r="W16" s="57">
        <v>-705799</v>
      </c>
      <c r="X16" s="57">
        <v>-211820</v>
      </c>
      <c r="Y16" s="57">
        <v>-204972</v>
      </c>
      <c r="Z16" s="57">
        <v>-416792</v>
      </c>
      <c r="AA16" s="57">
        <v>-163296</v>
      </c>
      <c r="AB16" s="57">
        <v>-580088</v>
      </c>
      <c r="AC16" s="57">
        <v>-232646</v>
      </c>
      <c r="AD16" s="57">
        <v>-812734</v>
      </c>
      <c r="AE16" s="57">
        <v>-161628</v>
      </c>
      <c r="AF16" s="57">
        <v>-278131</v>
      </c>
      <c r="AG16" s="57">
        <v>-439759</v>
      </c>
      <c r="AH16" s="57">
        <v>-151624</v>
      </c>
      <c r="AI16" s="57">
        <v>-591383</v>
      </c>
      <c r="AJ16" s="57">
        <v>-190202</v>
      </c>
      <c r="AK16" s="57">
        <v>-781585</v>
      </c>
    </row>
    <row r="17" spans="1:37" s="50" customFormat="1" ht="11.25">
      <c r="A17" s="55" t="s">
        <v>195</v>
      </c>
      <c r="B17" s="56" t="s">
        <v>215</v>
      </c>
      <c r="C17" s="57">
        <v>-17381</v>
      </c>
      <c r="D17" s="57">
        <v>-54236</v>
      </c>
      <c r="E17" s="57">
        <f t="shared" si="0"/>
        <v>-71617</v>
      </c>
      <c r="F17" s="57">
        <v>-29383</v>
      </c>
      <c r="G17" s="57">
        <f t="shared" si="1"/>
        <v>-101000</v>
      </c>
      <c r="H17" s="57">
        <f t="shared" si="2"/>
        <v>-3628</v>
      </c>
      <c r="I17" s="57">
        <v>-104628</v>
      </c>
      <c r="J17" s="57">
        <v>-3678</v>
      </c>
      <c r="K17" s="57">
        <v>-3524</v>
      </c>
      <c r="L17" s="57">
        <f t="shared" si="3"/>
        <v>-7202</v>
      </c>
      <c r="M17" s="57">
        <v>-4948</v>
      </c>
      <c r="N17" s="57">
        <v>-12150</v>
      </c>
      <c r="O17" s="57">
        <v>-39661</v>
      </c>
      <c r="P17" s="57">
        <v>-51811</v>
      </c>
      <c r="Q17" s="57">
        <v>-6347</v>
      </c>
      <c r="R17" s="57">
        <v>-2552</v>
      </c>
      <c r="S17" s="57">
        <v>-8899</v>
      </c>
      <c r="T17" s="57">
        <v>-7563</v>
      </c>
      <c r="U17" s="57">
        <v>-16462</v>
      </c>
      <c r="V17" s="57">
        <v>-10881</v>
      </c>
      <c r="W17" s="57">
        <v>-27343</v>
      </c>
      <c r="X17" s="57">
        <v>-466</v>
      </c>
      <c r="Y17" s="57">
        <v>-3189</v>
      </c>
      <c r="Z17" s="57">
        <v>-3655</v>
      </c>
      <c r="AA17" s="57">
        <v>-680</v>
      </c>
      <c r="AB17" s="57">
        <v>-4335</v>
      </c>
      <c r="AC17" s="57">
        <v>-36012</v>
      </c>
      <c r="AD17" s="57">
        <v>-40347</v>
      </c>
      <c r="AE17" s="57">
        <v>-670</v>
      </c>
      <c r="AF17" s="57">
        <v>-2528</v>
      </c>
      <c r="AG17" s="57">
        <v>-3198</v>
      </c>
      <c r="AH17" s="57">
        <v>-1423</v>
      </c>
      <c r="AI17" s="57">
        <v>-4621</v>
      </c>
      <c r="AJ17" s="57">
        <v>-53812</v>
      </c>
      <c r="AK17" s="57">
        <v>-58433</v>
      </c>
    </row>
    <row r="18" spans="1:37" s="50" customFormat="1" ht="11.25">
      <c r="A18" s="55" t="s">
        <v>196</v>
      </c>
      <c r="B18" s="69" t="s">
        <v>216</v>
      </c>
      <c r="C18" s="57">
        <v>4647</v>
      </c>
      <c r="D18" s="57">
        <v>1787</v>
      </c>
      <c r="E18" s="57">
        <f t="shared" si="0"/>
        <v>6434</v>
      </c>
      <c r="F18" s="57">
        <v>6446</v>
      </c>
      <c r="G18" s="57">
        <f t="shared" si="1"/>
        <v>12880</v>
      </c>
      <c r="H18" s="57">
        <f t="shared" si="2"/>
        <v>-28193</v>
      </c>
      <c r="I18" s="57">
        <v>-15313</v>
      </c>
      <c r="J18" s="57">
        <v>-3666</v>
      </c>
      <c r="K18" s="57">
        <v>3918</v>
      </c>
      <c r="L18" s="57">
        <f t="shared" si="3"/>
        <v>252</v>
      </c>
      <c r="M18" s="57">
        <v>3097</v>
      </c>
      <c r="N18" s="57">
        <v>14319</v>
      </c>
      <c r="O18" s="57">
        <v>-1822</v>
      </c>
      <c r="P18" s="57">
        <v>12497</v>
      </c>
      <c r="Q18" s="57">
        <v>3879</v>
      </c>
      <c r="R18" s="57">
        <v>-4997</v>
      </c>
      <c r="S18" s="57">
        <v>-1118</v>
      </c>
      <c r="T18" s="57">
        <v>-348</v>
      </c>
      <c r="U18" s="57">
        <v>-1466</v>
      </c>
      <c r="V18" s="57">
        <v>-3192</v>
      </c>
      <c r="W18" s="57">
        <v>-4658</v>
      </c>
      <c r="X18" s="57">
        <v>-2424</v>
      </c>
      <c r="Y18" s="57">
        <v>-614</v>
      </c>
      <c r="Z18" s="57">
        <v>-3038</v>
      </c>
      <c r="AA18" s="57">
        <v>-3115</v>
      </c>
      <c r="AB18" s="57">
        <v>-6153</v>
      </c>
      <c r="AC18" s="57">
        <v>1015</v>
      </c>
      <c r="AD18" s="57">
        <v>-5138</v>
      </c>
      <c r="AE18" s="57">
        <v>-5468</v>
      </c>
      <c r="AF18" s="57">
        <v>-19390</v>
      </c>
      <c r="AG18" s="57">
        <v>-24858</v>
      </c>
      <c r="AH18" s="57">
        <v>-2244</v>
      </c>
      <c r="AI18" s="57">
        <v>-27102</v>
      </c>
      <c r="AJ18" s="57">
        <v>-9427</v>
      </c>
      <c r="AK18" s="57">
        <v>-36529</v>
      </c>
    </row>
    <row r="19" spans="1:37" s="50" customFormat="1" ht="11.25">
      <c r="A19" s="65"/>
      <c r="B19" s="60" t="s">
        <v>217</v>
      </c>
      <c r="C19" s="61">
        <v>-146307</v>
      </c>
      <c r="D19" s="61">
        <v>-242108</v>
      </c>
      <c r="E19" s="61">
        <f t="shared" si="0"/>
        <v>-388415</v>
      </c>
      <c r="F19" s="61">
        <v>-112659</v>
      </c>
      <c r="G19" s="61">
        <f t="shared" si="1"/>
        <v>-501074</v>
      </c>
      <c r="H19" s="61">
        <f t="shared" si="2"/>
        <v>-154842</v>
      </c>
      <c r="I19" s="61">
        <v>-655916</v>
      </c>
      <c r="J19" s="61">
        <v>-121511</v>
      </c>
      <c r="K19" s="61">
        <v>-161541</v>
      </c>
      <c r="L19" s="61">
        <f t="shared" si="3"/>
        <v>-283052</v>
      </c>
      <c r="M19" s="61">
        <v>-126429</v>
      </c>
      <c r="N19" s="61">
        <v>-398511</v>
      </c>
      <c r="O19" s="61">
        <v>-260553</v>
      </c>
      <c r="P19" s="61">
        <v>-659064</v>
      </c>
      <c r="Q19" s="61">
        <v>-149972</v>
      </c>
      <c r="R19" s="61">
        <v>-157786</v>
      </c>
      <c r="S19" s="61">
        <v>-307758</v>
      </c>
      <c r="T19" s="61">
        <v>-135067</v>
      </c>
      <c r="U19" s="61">
        <v>-442825</v>
      </c>
      <c r="V19" s="61">
        <v>-294975</v>
      </c>
      <c r="W19" s="61">
        <v>-737800</v>
      </c>
      <c r="X19" s="61">
        <v>-214710</v>
      </c>
      <c r="Y19" s="61">
        <v>-208775</v>
      </c>
      <c r="Z19" s="61">
        <v>-423485</v>
      </c>
      <c r="AA19" s="61">
        <v>-167091</v>
      </c>
      <c r="AB19" s="61">
        <v>-590576</v>
      </c>
      <c r="AC19" s="61">
        <v>-267643</v>
      </c>
      <c r="AD19" s="61">
        <v>-858219</v>
      </c>
      <c r="AE19" s="61">
        <v>-167766</v>
      </c>
      <c r="AF19" s="61">
        <v>-300049</v>
      </c>
      <c r="AG19" s="61">
        <v>-467815</v>
      </c>
      <c r="AH19" s="61">
        <v>-155291</v>
      </c>
      <c r="AI19" s="61">
        <v>-623106</v>
      </c>
      <c r="AJ19" s="61">
        <v>-253441</v>
      </c>
      <c r="AK19" s="61">
        <v>-876547</v>
      </c>
    </row>
    <row r="20" spans="1:37" s="50" customFormat="1" ht="11.25">
      <c r="A20" s="62" t="s">
        <v>251</v>
      </c>
      <c r="B20" s="63" t="s">
        <v>218</v>
      </c>
      <c r="C20" s="64">
        <v>-5661</v>
      </c>
      <c r="D20" s="64">
        <v>-5941</v>
      </c>
      <c r="E20" s="64">
        <f t="shared" si="0"/>
        <v>-11602</v>
      </c>
      <c r="F20" s="64">
        <v>-9268</v>
      </c>
      <c r="G20" s="64">
        <f t="shared" si="1"/>
        <v>-20870</v>
      </c>
      <c r="H20" s="64">
        <f t="shared" si="2"/>
        <v>-9708</v>
      </c>
      <c r="I20" s="64">
        <v>-30578</v>
      </c>
      <c r="J20" s="64">
        <v>-9621</v>
      </c>
      <c r="K20" s="64">
        <v>-12504</v>
      </c>
      <c r="L20" s="64">
        <f t="shared" si="3"/>
        <v>-22125</v>
      </c>
      <c r="M20" s="64">
        <v>-5791</v>
      </c>
      <c r="N20" s="64">
        <v>-27916</v>
      </c>
      <c r="O20" s="64">
        <v>-4732</v>
      </c>
      <c r="P20" s="64">
        <v>-32648</v>
      </c>
      <c r="Q20" s="64">
        <v>-14096</v>
      </c>
      <c r="R20" s="64">
        <v>-12439</v>
      </c>
      <c r="S20" s="64">
        <v>-26535</v>
      </c>
      <c r="T20" s="64">
        <v>-6585</v>
      </c>
      <c r="U20" s="64">
        <v>-33120</v>
      </c>
      <c r="V20" s="64">
        <v>-14262</v>
      </c>
      <c r="W20" s="64">
        <v>-47382</v>
      </c>
      <c r="X20" s="64">
        <v>-6658</v>
      </c>
      <c r="Y20" s="64">
        <v>-12976</v>
      </c>
      <c r="Z20" s="64">
        <v>-19634</v>
      </c>
      <c r="AA20" s="64">
        <v>-8036</v>
      </c>
      <c r="AB20" s="64">
        <v>-27670</v>
      </c>
      <c r="AC20" s="64">
        <v>-11112</v>
      </c>
      <c r="AD20" s="64">
        <v>-38782</v>
      </c>
      <c r="AE20" s="64">
        <v>-5318</v>
      </c>
      <c r="AF20" s="64">
        <v>-13060</v>
      </c>
      <c r="AG20" s="64">
        <v>-18378</v>
      </c>
      <c r="AH20" s="64">
        <v>-1700</v>
      </c>
      <c r="AI20" s="64">
        <v>-20078</v>
      </c>
      <c r="AJ20" s="64">
        <v>-9832</v>
      </c>
      <c r="AK20" s="64">
        <v>-29910</v>
      </c>
    </row>
    <row r="21" spans="1:37" s="50" customFormat="1" ht="11.25">
      <c r="A21" s="55" t="s">
        <v>235</v>
      </c>
      <c r="B21" s="56" t="s">
        <v>234</v>
      </c>
      <c r="C21" s="57">
        <v>-18061</v>
      </c>
      <c r="D21" s="57">
        <v>2114</v>
      </c>
      <c r="E21" s="57">
        <f t="shared" si="0"/>
        <v>-15947</v>
      </c>
      <c r="F21" s="57">
        <v>-20205</v>
      </c>
      <c r="G21" s="57">
        <f t="shared" si="1"/>
        <v>-36152</v>
      </c>
      <c r="H21" s="57">
        <f t="shared" si="2"/>
        <v>-1569</v>
      </c>
      <c r="I21" s="57">
        <v>-37721</v>
      </c>
      <c r="J21" s="57">
        <v>-15000</v>
      </c>
      <c r="K21" s="57">
        <v>-432</v>
      </c>
      <c r="L21" s="57">
        <f t="shared" si="3"/>
        <v>-15432</v>
      </c>
      <c r="M21" s="57">
        <v>-17607</v>
      </c>
      <c r="N21" s="57">
        <v>-44009</v>
      </c>
      <c r="O21" s="57">
        <v>-29469</v>
      </c>
      <c r="P21" s="57">
        <v>-73478</v>
      </c>
      <c r="Q21" s="57">
        <v>0</v>
      </c>
      <c r="R21" s="57">
        <v>-10250</v>
      </c>
      <c r="S21" s="57">
        <v>-10250</v>
      </c>
      <c r="T21" s="57">
        <v>-8855</v>
      </c>
      <c r="U21" s="57">
        <v>-19105</v>
      </c>
      <c r="V21" s="57">
        <v>-47204</v>
      </c>
      <c r="W21" s="57">
        <v>-66309</v>
      </c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</row>
    <row r="22" spans="1:37" s="50" customFormat="1" ht="22.5">
      <c r="A22" s="58" t="s">
        <v>197</v>
      </c>
      <c r="B22" s="56" t="s">
        <v>219</v>
      </c>
      <c r="C22" s="57">
        <v>3705</v>
      </c>
      <c r="D22" s="57">
        <v>2843</v>
      </c>
      <c r="E22" s="57">
        <f t="shared" si="0"/>
        <v>6548</v>
      </c>
      <c r="F22" s="57">
        <v>4885</v>
      </c>
      <c r="G22" s="57">
        <f t="shared" si="1"/>
        <v>11433</v>
      </c>
      <c r="H22" s="57">
        <f t="shared" si="2"/>
        <v>-21319</v>
      </c>
      <c r="I22" s="57">
        <v>-9886</v>
      </c>
      <c r="J22" s="57">
        <v>3193</v>
      </c>
      <c r="K22" s="57">
        <v>-4077</v>
      </c>
      <c r="L22" s="57">
        <f t="shared" si="3"/>
        <v>-884</v>
      </c>
      <c r="M22" s="57">
        <v>2462</v>
      </c>
      <c r="N22" s="57">
        <v>1578</v>
      </c>
      <c r="O22" s="57">
        <v>-26161</v>
      </c>
      <c r="P22" s="57">
        <v>-24583</v>
      </c>
      <c r="Q22" s="57">
        <v>-1773</v>
      </c>
      <c r="R22" s="57">
        <v>7173</v>
      </c>
      <c r="S22" s="57">
        <v>5400</v>
      </c>
      <c r="T22" s="57">
        <v>-6846</v>
      </c>
      <c r="U22" s="57">
        <v>-1446</v>
      </c>
      <c r="V22" s="57">
        <v>1802</v>
      </c>
      <c r="W22" s="57">
        <v>356</v>
      </c>
      <c r="X22" s="57">
        <v>-972</v>
      </c>
      <c r="Y22" s="57">
        <v>-2770</v>
      </c>
      <c r="Z22" s="57">
        <v>-3742</v>
      </c>
      <c r="AA22" s="57">
        <v>2273</v>
      </c>
      <c r="AB22" s="57">
        <v>-1469</v>
      </c>
      <c r="AC22" s="57">
        <v>699</v>
      </c>
      <c r="AD22" s="57">
        <v>-770</v>
      </c>
      <c r="AE22" s="57">
        <v>83</v>
      </c>
      <c r="AF22" s="57">
        <v>-8161</v>
      </c>
      <c r="AG22" s="57">
        <v>-8078</v>
      </c>
      <c r="AH22" s="57">
        <v>4004</v>
      </c>
      <c r="AI22" s="57">
        <v>-4074</v>
      </c>
      <c r="AJ22" s="57">
        <v>-10651</v>
      </c>
      <c r="AK22" s="57">
        <v>-14725</v>
      </c>
    </row>
    <row r="23" spans="1:37" s="50" customFormat="1" ht="11.25">
      <c r="A23" s="58">
        <v>265</v>
      </c>
      <c r="B23" s="56" t="s">
        <v>306</v>
      </c>
      <c r="C23" s="57"/>
      <c r="D23" s="57">
        <v>130722</v>
      </c>
      <c r="E23" s="57">
        <v>130722</v>
      </c>
      <c r="F23" s="57"/>
      <c r="G23" s="57">
        <f t="shared" si="1"/>
        <v>130722</v>
      </c>
      <c r="H23" s="57">
        <f t="shared" si="2"/>
        <v>60170</v>
      </c>
      <c r="I23" s="57">
        <v>190892</v>
      </c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</row>
    <row r="24" spans="1:37" s="50" customFormat="1" ht="11.25">
      <c r="A24" s="70">
        <v>280</v>
      </c>
      <c r="B24" s="60" t="s">
        <v>220</v>
      </c>
      <c r="C24" s="61">
        <v>25011</v>
      </c>
      <c r="D24" s="61">
        <v>84038</v>
      </c>
      <c r="E24" s="61">
        <f t="shared" si="0"/>
        <v>109049</v>
      </c>
      <c r="F24" s="61">
        <v>52560</v>
      </c>
      <c r="G24" s="61">
        <f t="shared" si="1"/>
        <v>161609</v>
      </c>
      <c r="H24" s="61">
        <f t="shared" si="2"/>
        <v>37511</v>
      </c>
      <c r="I24" s="61">
        <v>199120</v>
      </c>
      <c r="J24" s="61">
        <v>47435</v>
      </c>
      <c r="K24" s="61">
        <v>45427</v>
      </c>
      <c r="L24" s="61">
        <f t="shared" si="3"/>
        <v>92862</v>
      </c>
      <c r="M24" s="61">
        <v>52418</v>
      </c>
      <c r="N24" s="61">
        <v>145280</v>
      </c>
      <c r="O24" s="61">
        <v>-134736</v>
      </c>
      <c r="P24" s="61">
        <v>10544</v>
      </c>
      <c r="Q24" s="61">
        <v>78935</v>
      </c>
      <c r="R24" s="61">
        <v>36671</v>
      </c>
      <c r="S24" s="61">
        <v>115606</v>
      </c>
      <c r="T24" s="61">
        <v>10052</v>
      </c>
      <c r="U24" s="61">
        <v>125658</v>
      </c>
      <c r="V24" s="61">
        <v>87856</v>
      </c>
      <c r="W24" s="61">
        <v>213514</v>
      </c>
      <c r="X24" s="61">
        <v>51979</v>
      </c>
      <c r="Y24" s="61">
        <v>32251</v>
      </c>
      <c r="Z24" s="61">
        <v>84230</v>
      </c>
      <c r="AA24" s="61">
        <v>47526</v>
      </c>
      <c r="AB24" s="61">
        <v>131756</v>
      </c>
      <c r="AC24" s="61">
        <v>-73591</v>
      </c>
      <c r="AD24" s="61">
        <v>58165</v>
      </c>
      <c r="AE24" s="61">
        <v>44417</v>
      </c>
      <c r="AF24" s="61">
        <v>-28868</v>
      </c>
      <c r="AG24" s="61">
        <v>15549</v>
      </c>
      <c r="AH24" s="61">
        <v>83722</v>
      </c>
      <c r="AI24" s="61">
        <v>99271</v>
      </c>
      <c r="AJ24" s="61">
        <v>-32447</v>
      </c>
      <c r="AK24" s="61">
        <v>66824</v>
      </c>
    </row>
    <row r="25" spans="1:37" s="50" customFormat="1" ht="11.25">
      <c r="A25" s="62" t="s">
        <v>198</v>
      </c>
      <c r="B25" s="63" t="s">
        <v>221</v>
      </c>
      <c r="C25" s="64">
        <v>-7743</v>
      </c>
      <c r="D25" s="64">
        <v>17926</v>
      </c>
      <c r="E25" s="64">
        <f t="shared" si="0"/>
        <v>10183</v>
      </c>
      <c r="F25" s="64">
        <v>-23696</v>
      </c>
      <c r="G25" s="64">
        <f t="shared" si="1"/>
        <v>-13513</v>
      </c>
      <c r="H25" s="64">
        <f t="shared" si="2"/>
        <v>-8725</v>
      </c>
      <c r="I25" s="64">
        <v>-22238</v>
      </c>
      <c r="J25" s="64">
        <v>-14104</v>
      </c>
      <c r="K25" s="64">
        <v>-13689</v>
      </c>
      <c r="L25" s="64">
        <f t="shared" si="3"/>
        <v>-27793</v>
      </c>
      <c r="M25" s="64">
        <v>-12838</v>
      </c>
      <c r="N25" s="64">
        <v>-40631</v>
      </c>
      <c r="O25" s="64">
        <v>45901</v>
      </c>
      <c r="P25" s="64">
        <v>5270</v>
      </c>
      <c r="Q25" s="64">
        <v>-27234</v>
      </c>
      <c r="R25" s="64">
        <v>-7367</v>
      </c>
      <c r="S25" s="64">
        <v>-34601</v>
      </c>
      <c r="T25" s="64">
        <v>-2313</v>
      </c>
      <c r="U25" s="64">
        <v>-36914</v>
      </c>
      <c r="V25" s="64">
        <v>42632</v>
      </c>
      <c r="W25" s="64">
        <v>5718</v>
      </c>
      <c r="X25" s="64">
        <v>-20760</v>
      </c>
      <c r="Y25" s="64">
        <v>-20922</v>
      </c>
      <c r="Z25" s="64">
        <v>-41682</v>
      </c>
      <c r="AA25" s="64">
        <v>-14258</v>
      </c>
      <c r="AB25" s="64">
        <v>-55940</v>
      </c>
      <c r="AC25" s="64">
        <v>27556</v>
      </c>
      <c r="AD25" s="64">
        <v>-28384</v>
      </c>
      <c r="AE25" s="64">
        <v>-30509</v>
      </c>
      <c r="AF25" s="64">
        <v>-5374</v>
      </c>
      <c r="AG25" s="64">
        <v>-35883</v>
      </c>
      <c r="AH25" s="64">
        <v>-41426</v>
      </c>
      <c r="AI25" s="64">
        <v>-77309</v>
      </c>
      <c r="AJ25" s="64">
        <v>25341</v>
      </c>
      <c r="AK25" s="64">
        <v>-51968</v>
      </c>
    </row>
    <row r="26" spans="1:37" s="50" customFormat="1" ht="11.25">
      <c r="A26" s="71" t="s">
        <v>199</v>
      </c>
      <c r="B26" s="72" t="s">
        <v>106</v>
      </c>
      <c r="C26" s="73">
        <v>0</v>
      </c>
      <c r="D26" s="73">
        <v>0</v>
      </c>
      <c r="E26" s="73">
        <f t="shared" si="0"/>
        <v>0</v>
      </c>
      <c r="F26" s="73">
        <v>0</v>
      </c>
      <c r="G26" s="73">
        <f t="shared" si="1"/>
        <v>0</v>
      </c>
      <c r="H26" s="73">
        <f t="shared" si="2"/>
        <v>0</v>
      </c>
      <c r="I26" s="73">
        <v>0</v>
      </c>
      <c r="J26" s="73">
        <v>0</v>
      </c>
      <c r="K26" s="73">
        <v>0</v>
      </c>
      <c r="L26" s="73">
        <v>0</v>
      </c>
      <c r="M26" s="73"/>
      <c r="N26" s="73">
        <v>0</v>
      </c>
      <c r="O26" s="73"/>
      <c r="P26" s="73">
        <v>0</v>
      </c>
      <c r="Q26" s="73">
        <v>0</v>
      </c>
      <c r="R26" s="73">
        <v>0</v>
      </c>
      <c r="S26" s="73">
        <v>0</v>
      </c>
      <c r="T26" s="73"/>
      <c r="U26" s="73">
        <v>0</v>
      </c>
      <c r="V26" s="73"/>
      <c r="W26" s="73">
        <v>0</v>
      </c>
      <c r="X26" s="73">
        <v>0</v>
      </c>
      <c r="Y26" s="73">
        <v>0</v>
      </c>
      <c r="Z26" s="73">
        <v>0</v>
      </c>
      <c r="AA26" s="73">
        <v>0</v>
      </c>
      <c r="AB26" s="73">
        <v>0</v>
      </c>
      <c r="AC26" s="73">
        <v>0</v>
      </c>
      <c r="AD26" s="73">
        <v>0</v>
      </c>
      <c r="AE26" s="73">
        <v>1525</v>
      </c>
      <c r="AF26" s="73">
        <v>-1082</v>
      </c>
      <c r="AG26" s="73">
        <v>443</v>
      </c>
      <c r="AH26" s="73">
        <v>815</v>
      </c>
      <c r="AI26" s="73">
        <v>1258</v>
      </c>
      <c r="AJ26" s="73">
        <v>0</v>
      </c>
      <c r="AK26" s="73">
        <v>1258</v>
      </c>
    </row>
    <row r="27" spans="1:37" s="50" customFormat="1" ht="11.25">
      <c r="A27" s="74" t="s">
        <v>200</v>
      </c>
      <c r="B27" s="75" t="s">
        <v>222</v>
      </c>
      <c r="C27" s="76">
        <v>17268</v>
      </c>
      <c r="D27" s="76">
        <v>101964</v>
      </c>
      <c r="E27" s="76">
        <f t="shared" si="0"/>
        <v>119232</v>
      </c>
      <c r="F27" s="76">
        <v>28864</v>
      </c>
      <c r="G27" s="76">
        <f t="shared" si="1"/>
        <v>148096</v>
      </c>
      <c r="H27" s="76">
        <f t="shared" si="2"/>
        <v>28786</v>
      </c>
      <c r="I27" s="76">
        <v>176882</v>
      </c>
      <c r="J27" s="76">
        <v>33331</v>
      </c>
      <c r="K27" s="76">
        <v>31738</v>
      </c>
      <c r="L27" s="76">
        <f t="shared" si="3"/>
        <v>65069</v>
      </c>
      <c r="M27" s="76">
        <v>39580</v>
      </c>
      <c r="N27" s="76">
        <v>104649</v>
      </c>
      <c r="O27" s="76">
        <v>-88835</v>
      </c>
      <c r="P27" s="76">
        <v>15814</v>
      </c>
      <c r="Q27" s="76">
        <v>51701</v>
      </c>
      <c r="R27" s="76">
        <v>29304</v>
      </c>
      <c r="S27" s="76">
        <v>81005</v>
      </c>
      <c r="T27" s="76">
        <v>7739</v>
      </c>
      <c r="U27" s="76">
        <v>88744</v>
      </c>
      <c r="V27" s="76">
        <v>130488</v>
      </c>
      <c r="W27" s="76">
        <v>219232</v>
      </c>
      <c r="X27" s="76">
        <v>31219</v>
      </c>
      <c r="Y27" s="76">
        <v>11329</v>
      </c>
      <c r="Z27" s="76">
        <v>42548</v>
      </c>
      <c r="AA27" s="76">
        <v>33268</v>
      </c>
      <c r="AB27" s="76">
        <v>75816</v>
      </c>
      <c r="AC27" s="76">
        <v>-46035</v>
      </c>
      <c r="AD27" s="76">
        <v>29781</v>
      </c>
      <c r="AE27" s="76">
        <v>15433</v>
      </c>
      <c r="AF27" s="76">
        <v>-35324</v>
      </c>
      <c r="AG27" s="76">
        <v>-19891</v>
      </c>
      <c r="AH27" s="76">
        <v>43111</v>
      </c>
      <c r="AI27" s="76">
        <v>23220</v>
      </c>
      <c r="AJ27" s="76">
        <v>-7106</v>
      </c>
      <c r="AK27" s="76">
        <v>16114</v>
      </c>
    </row>
    <row r="28" spans="1:37" s="50" customFormat="1" ht="11.25">
      <c r="A28" s="77" t="s">
        <v>201</v>
      </c>
      <c r="B28" s="78" t="s">
        <v>223</v>
      </c>
      <c r="C28" s="79">
        <v>-2710</v>
      </c>
      <c r="D28" s="79">
        <v>2540</v>
      </c>
      <c r="E28" s="79">
        <f t="shared" si="0"/>
        <v>-170</v>
      </c>
      <c r="F28" s="79">
        <v>1032</v>
      </c>
      <c r="G28" s="79">
        <f t="shared" si="1"/>
        <v>862</v>
      </c>
      <c r="H28" s="79">
        <f t="shared" si="2"/>
        <v>-1306</v>
      </c>
      <c r="I28" s="79">
        <v>-444</v>
      </c>
      <c r="J28" s="79">
        <v>-2356</v>
      </c>
      <c r="K28" s="79">
        <v>2029</v>
      </c>
      <c r="L28" s="79">
        <f t="shared" si="3"/>
        <v>-327</v>
      </c>
      <c r="M28" s="79">
        <v>-3162</v>
      </c>
      <c r="N28" s="79">
        <v>-3489</v>
      </c>
      <c r="O28" s="79">
        <v>1974</v>
      </c>
      <c r="P28" s="79">
        <v>-1515</v>
      </c>
      <c r="Q28" s="79">
        <v>-6504</v>
      </c>
      <c r="R28" s="79">
        <v>-1270</v>
      </c>
      <c r="S28" s="79">
        <v>-7774</v>
      </c>
      <c r="T28" s="79">
        <v>1616</v>
      </c>
      <c r="U28" s="79">
        <v>-6158</v>
      </c>
      <c r="V28" s="79">
        <v>7587</v>
      </c>
      <c r="W28" s="79">
        <v>1429</v>
      </c>
      <c r="X28" s="79">
        <v>-2947</v>
      </c>
      <c r="Y28" s="79">
        <v>-3701</v>
      </c>
      <c r="Z28" s="79">
        <v>-6648</v>
      </c>
      <c r="AA28" s="79">
        <v>-8067</v>
      </c>
      <c r="AB28" s="79">
        <v>-14715</v>
      </c>
      <c r="AC28" s="79">
        <v>-269</v>
      </c>
      <c r="AD28" s="79">
        <v>-14984</v>
      </c>
      <c r="AE28" s="79">
        <v>-1041</v>
      </c>
      <c r="AF28" s="79">
        <v>-532</v>
      </c>
      <c r="AG28" s="79">
        <v>-1573</v>
      </c>
      <c r="AH28" s="79">
        <v>-7441</v>
      </c>
      <c r="AI28" s="79">
        <v>-9014</v>
      </c>
      <c r="AJ28" s="79">
        <v>76</v>
      </c>
      <c r="AK28" s="79">
        <v>-8938</v>
      </c>
    </row>
    <row r="29" spans="1:37" s="50" customFormat="1" ht="11.25">
      <c r="A29" s="74" t="s">
        <v>202</v>
      </c>
      <c r="B29" s="75" t="s">
        <v>224</v>
      </c>
      <c r="C29" s="76">
        <v>14558</v>
      </c>
      <c r="D29" s="76">
        <v>104504</v>
      </c>
      <c r="E29" s="76">
        <f t="shared" si="0"/>
        <v>119062</v>
      </c>
      <c r="F29" s="76">
        <v>29896</v>
      </c>
      <c r="G29" s="76">
        <f t="shared" si="1"/>
        <v>148958</v>
      </c>
      <c r="H29" s="76">
        <f t="shared" si="2"/>
        <v>27480</v>
      </c>
      <c r="I29" s="76">
        <v>176438</v>
      </c>
      <c r="J29" s="76">
        <v>30975</v>
      </c>
      <c r="K29" s="76">
        <v>33767</v>
      </c>
      <c r="L29" s="76">
        <f t="shared" si="3"/>
        <v>64742</v>
      </c>
      <c r="M29" s="76">
        <v>36418</v>
      </c>
      <c r="N29" s="76">
        <v>101160</v>
      </c>
      <c r="O29" s="76">
        <v>-86861</v>
      </c>
      <c r="P29" s="76">
        <v>14299</v>
      </c>
      <c r="Q29" s="76">
        <v>45197</v>
      </c>
      <c r="R29" s="76">
        <v>28034</v>
      </c>
      <c r="S29" s="76">
        <v>73231</v>
      </c>
      <c r="T29" s="76">
        <v>9355</v>
      </c>
      <c r="U29" s="76">
        <v>82586</v>
      </c>
      <c r="V29" s="76">
        <v>138075</v>
      </c>
      <c r="W29" s="76">
        <v>220661</v>
      </c>
      <c r="X29" s="76">
        <v>28272</v>
      </c>
      <c r="Y29" s="76">
        <v>7628</v>
      </c>
      <c r="Z29" s="76">
        <v>35900</v>
      </c>
      <c r="AA29" s="76">
        <v>25201</v>
      </c>
      <c r="AB29" s="76">
        <v>61101</v>
      </c>
      <c r="AC29" s="76">
        <v>-46304</v>
      </c>
      <c r="AD29" s="76">
        <v>14797</v>
      </c>
      <c r="AE29" s="76">
        <v>14392</v>
      </c>
      <c r="AF29" s="76">
        <v>-35856</v>
      </c>
      <c r="AG29" s="76">
        <v>-21464</v>
      </c>
      <c r="AH29" s="76">
        <v>35670</v>
      </c>
      <c r="AI29" s="76">
        <v>14206</v>
      </c>
      <c r="AJ29" s="76">
        <v>-7030</v>
      </c>
      <c r="AK29" s="76">
        <v>7176</v>
      </c>
    </row>
    <row r="30" spans="1:37" s="50" customFormat="1" ht="11.25">
      <c r="A30" s="80"/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0"/>
    </row>
    <row r="31" spans="1:37" s="50" customFormat="1" ht="11.25">
      <c r="A31" s="80"/>
      <c r="B31" s="80" t="s">
        <v>239</v>
      </c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</row>
    <row r="32" spans="1:37" s="50" customFormat="1" ht="11.25">
      <c r="A32" s="77" t="s">
        <v>203</v>
      </c>
      <c r="B32" s="78" t="s">
        <v>236</v>
      </c>
      <c r="C32" s="79">
        <v>29981</v>
      </c>
      <c r="D32" s="79">
        <v>31001</v>
      </c>
      <c r="E32" s="79">
        <f>+C32+D32</f>
        <v>60982</v>
      </c>
      <c r="F32" s="79">
        <v>31382</v>
      </c>
      <c r="G32" s="79">
        <v>92364</v>
      </c>
      <c r="H32" s="79">
        <v>33811</v>
      </c>
      <c r="I32" s="79">
        <f>+H32+G32</f>
        <v>126175</v>
      </c>
      <c r="J32" s="79">
        <v>30405</v>
      </c>
      <c r="K32" s="79">
        <v>28899</v>
      </c>
      <c r="L32" s="79">
        <v>59304</v>
      </c>
      <c r="M32" s="79">
        <v>29385</v>
      </c>
      <c r="N32" s="79">
        <v>88689</v>
      </c>
      <c r="O32" s="79">
        <f>+P32-N32</f>
        <v>30015</v>
      </c>
      <c r="P32" s="79">
        <v>118704</v>
      </c>
      <c r="Q32" s="79">
        <v>30864</v>
      </c>
      <c r="R32" s="79">
        <v>31763</v>
      </c>
      <c r="S32" s="79">
        <v>62627</v>
      </c>
      <c r="T32" s="79">
        <v>30804</v>
      </c>
      <c r="U32" s="79">
        <v>93431</v>
      </c>
      <c r="V32" s="79">
        <v>29871</v>
      </c>
      <c r="W32" s="79">
        <v>123302</v>
      </c>
      <c r="X32" s="79">
        <v>29789</v>
      </c>
      <c r="Y32" s="79">
        <v>32392</v>
      </c>
      <c r="Z32" s="79">
        <v>62181</v>
      </c>
      <c r="AA32" s="79">
        <v>31705</v>
      </c>
      <c r="AB32" s="79">
        <v>93886</v>
      </c>
      <c r="AC32" s="79">
        <v>31517</v>
      </c>
      <c r="AD32" s="79">
        <v>125403</v>
      </c>
      <c r="AE32" s="79">
        <v>26858</v>
      </c>
      <c r="AF32" s="79">
        <v>31192</v>
      </c>
      <c r="AG32" s="79">
        <v>58050</v>
      </c>
      <c r="AH32" s="79">
        <v>29286</v>
      </c>
      <c r="AI32" s="79">
        <v>87336</v>
      </c>
      <c r="AJ32" s="79">
        <v>29122</v>
      </c>
      <c r="AK32" s="79">
        <v>116458</v>
      </c>
    </row>
    <row r="33" spans="1:42" s="50" customFormat="1" ht="11.25">
      <c r="A33" s="77" t="s">
        <v>237</v>
      </c>
      <c r="B33" s="78" t="s">
        <v>250</v>
      </c>
      <c r="C33" s="79">
        <v>0</v>
      </c>
      <c r="D33" s="79">
        <v>0</v>
      </c>
      <c r="E33" s="79"/>
      <c r="F33" s="79"/>
      <c r="G33" s="79"/>
      <c r="H33" s="79"/>
      <c r="I33" s="79"/>
      <c r="J33" s="79">
        <v>0</v>
      </c>
      <c r="K33" s="79">
        <v>0</v>
      </c>
      <c r="L33" s="79">
        <v>0</v>
      </c>
      <c r="M33" s="79">
        <v>0</v>
      </c>
      <c r="N33" s="79">
        <v>0</v>
      </c>
      <c r="O33" s="79">
        <f t="shared" ref="O33" si="4">+P33-N33</f>
        <v>775</v>
      </c>
      <c r="P33" s="79">
        <v>775</v>
      </c>
      <c r="Q33" s="79">
        <v>0</v>
      </c>
      <c r="R33" s="79">
        <v>0</v>
      </c>
      <c r="S33" s="79">
        <v>0</v>
      </c>
      <c r="T33" s="79">
        <v>0</v>
      </c>
      <c r="U33" s="79">
        <v>0</v>
      </c>
      <c r="V33" s="79">
        <v>0</v>
      </c>
      <c r="W33" s="79">
        <v>0</v>
      </c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36"/>
      <c r="AM33" s="36"/>
      <c r="AN33" s="36"/>
      <c r="AO33" s="36"/>
      <c r="AP33" s="36"/>
    </row>
    <row r="34" spans="1:42" s="50" customFormat="1" ht="11.25">
      <c r="A34" s="77" t="s">
        <v>238</v>
      </c>
      <c r="B34" s="78" t="s">
        <v>234</v>
      </c>
      <c r="C34" s="79">
        <v>-18061</v>
      </c>
      <c r="D34" s="79">
        <v>2114</v>
      </c>
      <c r="E34" s="79">
        <f>+C34+D34</f>
        <v>-15947</v>
      </c>
      <c r="F34" s="79">
        <v>-20205</v>
      </c>
      <c r="G34" s="79">
        <v>-36152</v>
      </c>
      <c r="H34" s="79">
        <v>-1569</v>
      </c>
      <c r="I34" s="79">
        <f>+H34+G34</f>
        <v>-37721</v>
      </c>
      <c r="J34" s="79">
        <v>-15000</v>
      </c>
      <c r="K34" s="79">
        <v>-11402</v>
      </c>
      <c r="L34" s="79">
        <v>-26402</v>
      </c>
      <c r="M34" s="79">
        <v>-17607</v>
      </c>
      <c r="N34" s="79">
        <v>-44009</v>
      </c>
      <c r="O34" s="79">
        <f>+P34-N34</f>
        <v>-34224</v>
      </c>
      <c r="P34" s="79">
        <v>-78233</v>
      </c>
      <c r="Q34" s="79">
        <v>0</v>
      </c>
      <c r="R34" s="79">
        <v>0</v>
      </c>
      <c r="S34" s="79">
        <v>0</v>
      </c>
      <c r="T34" s="79">
        <v>0</v>
      </c>
      <c r="U34" s="79">
        <v>0</v>
      </c>
      <c r="V34" s="79">
        <v>-61554</v>
      </c>
      <c r="W34" s="79">
        <v>-61554</v>
      </c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36"/>
      <c r="AM34" s="36"/>
      <c r="AN34" s="36"/>
      <c r="AO34" s="36"/>
      <c r="AP34" s="36"/>
    </row>
    <row r="35" spans="1:42" s="50" customFormat="1" ht="11.25">
      <c r="A35" s="77" t="s">
        <v>249</v>
      </c>
      <c r="B35" s="78" t="s">
        <v>234</v>
      </c>
      <c r="C35" s="79">
        <v>0</v>
      </c>
      <c r="D35" s="79"/>
      <c r="E35" s="79"/>
      <c r="F35" s="79"/>
      <c r="G35" s="79"/>
      <c r="H35" s="79"/>
      <c r="I35" s="79"/>
      <c r="J35" s="79">
        <v>0</v>
      </c>
      <c r="K35" s="79">
        <v>0</v>
      </c>
      <c r="L35" s="79">
        <v>0</v>
      </c>
      <c r="M35" s="79">
        <v>0</v>
      </c>
      <c r="N35" s="79">
        <v>0</v>
      </c>
      <c r="O35" s="79">
        <f>+P35-N35</f>
        <v>3980</v>
      </c>
      <c r="P35" s="79">
        <v>3980</v>
      </c>
      <c r="Q35" s="79">
        <v>0</v>
      </c>
      <c r="R35" s="79">
        <v>-10250</v>
      </c>
      <c r="S35" s="79">
        <v>-10250</v>
      </c>
      <c r="T35" s="79">
        <v>-8855</v>
      </c>
      <c r="U35" s="79">
        <v>-19105</v>
      </c>
      <c r="V35" s="79">
        <v>14350</v>
      </c>
      <c r="W35" s="79">
        <v>-4755</v>
      </c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36"/>
      <c r="AM35" s="36"/>
      <c r="AN35" s="36"/>
      <c r="AO35" s="36"/>
      <c r="AP35" s="36"/>
    </row>
    <row r="36" spans="1:42" s="50" customFormat="1" ht="11.25">
      <c r="A36" s="93" t="s">
        <v>301</v>
      </c>
      <c r="B36" s="94" t="s">
        <v>302</v>
      </c>
      <c r="C36" s="95" t="s">
        <v>263</v>
      </c>
      <c r="D36" s="95">
        <v>0</v>
      </c>
      <c r="E36" s="95">
        <v>0</v>
      </c>
      <c r="F36" s="95"/>
      <c r="G36" s="95"/>
      <c r="H36" s="95"/>
      <c r="I36" s="95"/>
      <c r="J36" s="79"/>
      <c r="K36" s="79">
        <v>10970</v>
      </c>
      <c r="L36" s="79">
        <v>10970</v>
      </c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</row>
    <row r="37" spans="1:42" s="50" customFormat="1" ht="11.25"/>
    <row r="38" spans="1:42" s="50" customFormat="1" ht="11.25"/>
    <row r="39" spans="1:42" s="50" customFormat="1" ht="11.25"/>
    <row r="40" spans="1:42" s="50" customFormat="1" ht="11.25"/>
    <row r="41" spans="1:42" s="50" customFormat="1" ht="11.25"/>
    <row r="42" spans="1:42" s="50" customFormat="1" ht="11.25"/>
    <row r="43" spans="1:42" s="50" customFormat="1" ht="11.25"/>
    <row r="44" spans="1:42" s="50" customFormat="1" ht="11.25"/>
  </sheetData>
  <mergeCells count="1">
    <mergeCell ref="A4:B4"/>
  </mergeCells>
  <pageMargins left="0.7" right="0.7" top="0.75" bottom="0.75" header="0.3" footer="0.3"/>
  <ignoredErrors>
    <ignoredError sqref="A24:A29 A7:A2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AP61"/>
  <sheetViews>
    <sheetView topLeftCell="A21" zoomScaleNormal="100" workbookViewId="0">
      <selection activeCell="A8" sqref="A8"/>
    </sheetView>
  </sheetViews>
  <sheetFormatPr defaultColWidth="25.140625" defaultRowHeight="12.75" outlineLevelCol="1"/>
  <cols>
    <col min="1" max="1" width="73.140625" style="256" bestFit="1" customWidth="1"/>
    <col min="2" max="3" width="14.140625" style="256" customWidth="1"/>
    <col min="4" max="4" width="12.85546875" style="256" customWidth="1"/>
    <col min="5" max="5" width="13.42578125" style="256" customWidth="1"/>
    <col min="6" max="6" width="8" style="256" customWidth="1"/>
    <col min="7" max="15" width="14.140625" style="256" customWidth="1"/>
    <col min="16" max="16" width="11.28515625" style="256" bestFit="1" customWidth="1"/>
    <col min="17" max="19" width="14.140625" style="256" customWidth="1"/>
    <col min="20" max="26" width="14.140625" style="256" hidden="1" customWidth="1" outlineLevel="1"/>
    <col min="27" max="27" width="26.140625" style="256" hidden="1" customWidth="1" outlineLevel="1"/>
    <col min="28" max="28" width="11.7109375" style="256" hidden="1" customWidth="1" outlineLevel="1"/>
    <col min="29" max="37" width="14.140625" style="256" hidden="1" customWidth="1" outlineLevel="1"/>
    <col min="38" max="39" width="10.85546875" style="256" hidden="1" customWidth="1" outlineLevel="1"/>
    <col min="40" max="40" width="11.7109375" style="256" hidden="1" customWidth="1" outlineLevel="1"/>
    <col min="41" max="41" width="11.5703125" style="256" hidden="1" customWidth="1" outlineLevel="1"/>
    <col min="42" max="42" width="25.140625" style="256" collapsed="1"/>
    <col min="43" max="16384" width="25.140625" style="256"/>
  </cols>
  <sheetData>
    <row r="7" spans="1:41">
      <c r="A7" s="255" t="s">
        <v>459</v>
      </c>
      <c r="AA7" s="257"/>
      <c r="AB7" s="257"/>
    </row>
    <row r="8" spans="1:41" ht="13.5" thickBot="1"/>
    <row r="9" spans="1:41" ht="13.5" thickTop="1">
      <c r="AA9" s="258" t="s">
        <v>506</v>
      </c>
    </row>
    <row r="10" spans="1:41">
      <c r="A10" s="259" t="s">
        <v>387</v>
      </c>
      <c r="B10" s="260" t="s">
        <v>597</v>
      </c>
      <c r="C10" s="261" t="s">
        <v>586</v>
      </c>
      <c r="D10" s="262" t="s">
        <v>452</v>
      </c>
      <c r="E10" s="261" t="s">
        <v>453</v>
      </c>
      <c r="G10" s="261" t="s">
        <v>586</v>
      </c>
      <c r="H10" s="261" t="s">
        <v>584</v>
      </c>
      <c r="I10" s="261" t="s">
        <v>582</v>
      </c>
      <c r="J10" s="261" t="s">
        <v>579</v>
      </c>
      <c r="K10" s="261" t="s">
        <v>577</v>
      </c>
      <c r="L10" s="261" t="s">
        <v>576</v>
      </c>
      <c r="M10" s="261" t="s">
        <v>575</v>
      </c>
      <c r="N10" s="261" t="s">
        <v>547</v>
      </c>
      <c r="O10" s="261" t="s">
        <v>541</v>
      </c>
      <c r="P10" s="261" t="s">
        <v>534</v>
      </c>
      <c r="Q10" s="261" t="s">
        <v>532</v>
      </c>
      <c r="R10" s="261" t="s">
        <v>531</v>
      </c>
      <c r="S10" s="261" t="s">
        <v>529</v>
      </c>
      <c r="T10" s="261" t="s">
        <v>517</v>
      </c>
      <c r="U10" s="261" t="s">
        <v>516</v>
      </c>
      <c r="V10" s="261" t="s">
        <v>515</v>
      </c>
      <c r="W10" s="261" t="s">
        <v>511</v>
      </c>
      <c r="X10" s="261" t="s">
        <v>510</v>
      </c>
      <c r="Y10" s="261" t="s">
        <v>509</v>
      </c>
      <c r="Z10" s="261" t="s">
        <v>507</v>
      </c>
      <c r="AA10" s="263" t="s">
        <v>504</v>
      </c>
      <c r="AB10" s="261" t="s">
        <v>504</v>
      </c>
      <c r="AC10" s="261" t="s">
        <v>496</v>
      </c>
      <c r="AD10" s="261" t="s">
        <v>493</v>
      </c>
      <c r="AE10" s="261" t="s">
        <v>492</v>
      </c>
      <c r="AF10" s="261" t="s">
        <v>490</v>
      </c>
      <c r="AG10" s="261" t="s">
        <v>486</v>
      </c>
      <c r="AH10" s="261" t="s">
        <v>484</v>
      </c>
      <c r="AI10" s="261" t="s">
        <v>483</v>
      </c>
      <c r="AJ10" s="261" t="s">
        <v>478</v>
      </c>
      <c r="AK10" s="261" t="s">
        <v>465</v>
      </c>
      <c r="AL10" s="261">
        <v>43281</v>
      </c>
      <c r="AM10" s="261">
        <v>43190</v>
      </c>
      <c r="AN10" s="261" t="s">
        <v>310</v>
      </c>
      <c r="AO10" s="261" t="s">
        <v>304</v>
      </c>
    </row>
    <row r="11" spans="1:41">
      <c r="A11" s="264" t="s">
        <v>353</v>
      </c>
      <c r="B11" s="265">
        <v>11272596</v>
      </c>
      <c r="C11" s="266">
        <v>11681192</v>
      </c>
      <c r="D11" s="266">
        <f>+B11-C11</f>
        <v>-408596</v>
      </c>
      <c r="E11" s="267">
        <f t="shared" ref="E11:E32" si="0">IF(C11=0,"n.s.",IF(D11=0,"-",IF(ABS(D11/C11)&gt;=1000,"--",ROUND(D11/C11,4))))</f>
        <v>-3.5000000000000003E-2</v>
      </c>
      <c r="G11" s="266">
        <v>11681192</v>
      </c>
      <c r="H11" s="266">
        <v>10975627</v>
      </c>
      <c r="I11" s="266">
        <v>7585046</v>
      </c>
      <c r="J11" s="266">
        <v>7664753</v>
      </c>
      <c r="K11" s="266">
        <v>7887900</v>
      </c>
      <c r="L11" s="266">
        <v>8912266</v>
      </c>
      <c r="M11" s="266">
        <v>8554396</v>
      </c>
      <c r="N11" s="266">
        <v>10935217</v>
      </c>
      <c r="O11" s="266">
        <v>10085595</v>
      </c>
      <c r="P11" s="266">
        <v>11590509</v>
      </c>
      <c r="Q11" s="266">
        <v>8378474</v>
      </c>
      <c r="R11" s="266">
        <v>16108463</v>
      </c>
      <c r="S11" s="266">
        <v>13997441</v>
      </c>
      <c r="T11" s="266">
        <v>25659992</v>
      </c>
      <c r="U11" s="266">
        <v>1494366</v>
      </c>
      <c r="V11" s="266">
        <v>1260203</v>
      </c>
      <c r="W11" s="266">
        <v>1306282</v>
      </c>
      <c r="X11" s="266">
        <v>653111</v>
      </c>
      <c r="Y11" s="266">
        <v>664507</v>
      </c>
      <c r="Z11" s="266">
        <v>589022</v>
      </c>
      <c r="AA11" s="268">
        <v>482192</v>
      </c>
      <c r="AB11" s="266">
        <v>482192</v>
      </c>
      <c r="AC11" s="266">
        <v>464244</v>
      </c>
      <c r="AD11" s="266">
        <v>460927</v>
      </c>
      <c r="AE11" s="266">
        <v>402042</v>
      </c>
      <c r="AF11" s="266">
        <v>566930</v>
      </c>
      <c r="AG11" s="266">
        <v>493538</v>
      </c>
      <c r="AH11" s="266">
        <v>395525</v>
      </c>
      <c r="AI11" s="266">
        <v>363073</v>
      </c>
      <c r="AJ11" s="266">
        <v>459782</v>
      </c>
      <c r="AK11" s="266">
        <v>392189</v>
      </c>
      <c r="AL11" s="266">
        <v>353774</v>
      </c>
      <c r="AM11" s="266">
        <v>337394</v>
      </c>
      <c r="AN11" s="266">
        <v>420299</v>
      </c>
      <c r="AO11" s="266">
        <v>420299</v>
      </c>
    </row>
    <row r="12" spans="1:41">
      <c r="A12" s="264" t="s">
        <v>413</v>
      </c>
      <c r="B12" s="265">
        <v>46417671</v>
      </c>
      <c r="C12" s="266">
        <v>45716990</v>
      </c>
      <c r="D12" s="266">
        <f t="shared" ref="D12:D30" si="1">+B12-C12</f>
        <v>700681</v>
      </c>
      <c r="E12" s="267">
        <f t="shared" si="0"/>
        <v>1.5299999999999999E-2</v>
      </c>
      <c r="G12" s="266">
        <v>45716990</v>
      </c>
      <c r="H12" s="266">
        <v>44966347</v>
      </c>
      <c r="I12" s="266">
        <v>32047372</v>
      </c>
      <c r="J12" s="266">
        <v>30721845</v>
      </c>
      <c r="K12" s="266">
        <v>29040782</v>
      </c>
      <c r="L12" s="266">
        <v>27742706</v>
      </c>
      <c r="M12" s="266">
        <v>26538260</v>
      </c>
      <c r="N12" s="266">
        <v>26457871</v>
      </c>
      <c r="O12" s="266">
        <v>28600425</v>
      </c>
      <c r="P12" s="266">
        <v>30013308</v>
      </c>
      <c r="Q12" s="266">
        <v>30461365</v>
      </c>
      <c r="R12" s="266">
        <v>30737095</v>
      </c>
      <c r="S12" s="266">
        <v>30665767</v>
      </c>
      <c r="T12" s="266">
        <v>30483095</v>
      </c>
      <c r="U12" s="266">
        <v>30891850</v>
      </c>
      <c r="V12" s="266">
        <v>27945486</v>
      </c>
      <c r="W12" s="266">
        <v>28373380</v>
      </c>
      <c r="X12" s="266">
        <v>27440604</v>
      </c>
      <c r="Y12" s="266">
        <v>27065595</v>
      </c>
      <c r="Z12" s="266">
        <v>26408166</v>
      </c>
      <c r="AA12" s="268">
        <v>24661915</v>
      </c>
      <c r="AB12" s="266">
        <v>24661915</v>
      </c>
      <c r="AC12" s="266">
        <v>23212173</v>
      </c>
      <c r="AD12" s="266">
        <v>22254677</v>
      </c>
      <c r="AE12" s="266">
        <v>19878531</v>
      </c>
      <c r="AF12" s="266">
        <v>18956906</v>
      </c>
      <c r="AG12" s="266">
        <v>18777522</v>
      </c>
      <c r="AH12" s="266">
        <v>17159152</v>
      </c>
      <c r="AI12" s="266">
        <v>17370954</v>
      </c>
      <c r="AJ12" s="266">
        <v>17152084</v>
      </c>
      <c r="AK12" s="266">
        <v>16642362</v>
      </c>
      <c r="AL12" s="266">
        <f>SUM(AL13:AL17)</f>
        <v>16328319</v>
      </c>
      <c r="AM12" s="266">
        <f>SUM(AM13:AM17)</f>
        <v>15145138</v>
      </c>
      <c r="AN12" s="266">
        <v>15799267</v>
      </c>
      <c r="AO12" s="266">
        <v>15661977</v>
      </c>
    </row>
    <row r="13" spans="1:41">
      <c r="A13" s="269" t="s">
        <v>414</v>
      </c>
      <c r="B13" s="265">
        <v>1003824</v>
      </c>
      <c r="C13" s="266">
        <v>1020166</v>
      </c>
      <c r="D13" s="266">
        <f t="shared" si="1"/>
        <v>-16342</v>
      </c>
      <c r="E13" s="267">
        <f t="shared" si="0"/>
        <v>-1.6E-2</v>
      </c>
      <c r="G13" s="266">
        <v>1020166</v>
      </c>
      <c r="H13" s="266">
        <v>913724</v>
      </c>
      <c r="I13" s="266">
        <v>803520</v>
      </c>
      <c r="J13" s="266">
        <v>744255</v>
      </c>
      <c r="K13" s="266">
        <v>664625</v>
      </c>
      <c r="L13" s="266">
        <v>677317</v>
      </c>
      <c r="M13" s="266">
        <v>733943</v>
      </c>
      <c r="N13" s="266">
        <v>766718</v>
      </c>
      <c r="O13" s="266">
        <v>672598</v>
      </c>
      <c r="P13" s="266">
        <v>731259</v>
      </c>
      <c r="Q13" s="266">
        <v>723448</v>
      </c>
      <c r="R13" s="266">
        <v>715914</v>
      </c>
      <c r="S13" s="266">
        <v>707498</v>
      </c>
      <c r="T13" s="266">
        <v>644603</v>
      </c>
      <c r="U13" s="266">
        <v>474834</v>
      </c>
      <c r="V13" s="266">
        <v>369175</v>
      </c>
      <c r="W13" s="266">
        <v>323721</v>
      </c>
      <c r="X13" s="266">
        <v>319284</v>
      </c>
      <c r="Y13" s="266">
        <v>317324</v>
      </c>
      <c r="Z13" s="266">
        <v>331893</v>
      </c>
      <c r="AA13" s="268">
        <v>279009</v>
      </c>
      <c r="AB13" s="266">
        <v>279009</v>
      </c>
      <c r="AC13" s="266">
        <v>257216</v>
      </c>
      <c r="AD13" s="266">
        <v>236699</v>
      </c>
      <c r="AE13" s="266">
        <v>244181</v>
      </c>
      <c r="AF13" s="266">
        <v>270374</v>
      </c>
      <c r="AG13" s="266">
        <v>328291</v>
      </c>
      <c r="AH13" s="266">
        <v>270204</v>
      </c>
      <c r="AI13" s="266">
        <v>248886</v>
      </c>
      <c r="AJ13" s="266">
        <v>247219</v>
      </c>
      <c r="AK13" s="266">
        <v>287687</v>
      </c>
      <c r="AL13" s="266">
        <v>350388</v>
      </c>
      <c r="AM13" s="266">
        <v>411047</v>
      </c>
      <c r="AN13" s="266">
        <v>414294</v>
      </c>
      <c r="AO13" s="266">
        <v>414294</v>
      </c>
    </row>
    <row r="14" spans="1:41">
      <c r="A14" s="269" t="s">
        <v>415</v>
      </c>
      <c r="B14" s="265">
        <v>0</v>
      </c>
      <c r="C14" s="266">
        <v>0</v>
      </c>
      <c r="D14" s="266">
        <f t="shared" si="1"/>
        <v>0</v>
      </c>
      <c r="E14" s="267" t="str">
        <f t="shared" si="0"/>
        <v>n.s.</v>
      </c>
      <c r="G14" s="266">
        <v>0</v>
      </c>
      <c r="H14" s="266">
        <v>0</v>
      </c>
      <c r="I14" s="266">
        <v>0</v>
      </c>
      <c r="J14" s="266">
        <v>0</v>
      </c>
      <c r="K14" s="266">
        <v>0</v>
      </c>
      <c r="L14" s="266">
        <v>0</v>
      </c>
      <c r="M14" s="266">
        <v>0</v>
      </c>
      <c r="N14" s="266">
        <v>0</v>
      </c>
      <c r="O14" s="266">
        <v>1991</v>
      </c>
      <c r="P14" s="266">
        <v>1969</v>
      </c>
      <c r="Q14" s="266">
        <v>1945</v>
      </c>
      <c r="R14" s="266">
        <v>2391</v>
      </c>
      <c r="S14" s="266">
        <v>2381</v>
      </c>
      <c r="T14" s="266">
        <v>2375</v>
      </c>
      <c r="U14" s="266">
        <v>129855</v>
      </c>
      <c r="V14" s="266">
        <v>128239</v>
      </c>
      <c r="W14" s="266">
        <v>125098</v>
      </c>
      <c r="X14" s="266">
        <v>123952</v>
      </c>
      <c r="Y14" s="266">
        <v>125822</v>
      </c>
      <c r="Z14" s="266">
        <v>124643</v>
      </c>
      <c r="AA14" s="268">
        <v>127368</v>
      </c>
      <c r="AB14" s="266">
        <v>127368</v>
      </c>
      <c r="AC14" s="266">
        <v>126045</v>
      </c>
      <c r="AD14" s="266">
        <v>128690</v>
      </c>
      <c r="AE14" s="266">
        <v>127032</v>
      </c>
      <c r="AF14" s="266">
        <v>130955</v>
      </c>
      <c r="AG14" s="266">
        <v>131594</v>
      </c>
      <c r="AH14" s="266">
        <v>219702</v>
      </c>
      <c r="AI14" s="266">
        <v>217361</v>
      </c>
      <c r="AJ14" s="266">
        <v>218662</v>
      </c>
      <c r="AK14" s="266">
        <v>216810</v>
      </c>
      <c r="AL14" s="266">
        <v>221625</v>
      </c>
      <c r="AM14" s="266">
        <v>224689</v>
      </c>
      <c r="AN14" s="266">
        <v>223192</v>
      </c>
      <c r="AO14" s="266">
        <v>223192</v>
      </c>
    </row>
    <row r="15" spans="1:41">
      <c r="A15" s="269" t="s">
        <v>472</v>
      </c>
      <c r="B15" s="265">
        <v>1505358</v>
      </c>
      <c r="C15" s="266">
        <v>1395895</v>
      </c>
      <c r="D15" s="266">
        <f t="shared" si="1"/>
        <v>109463</v>
      </c>
      <c r="E15" s="267">
        <f t="shared" si="0"/>
        <v>7.8399999999999997E-2</v>
      </c>
      <c r="G15" s="266">
        <v>1395895</v>
      </c>
      <c r="H15" s="266">
        <v>1253408</v>
      </c>
      <c r="I15" s="266">
        <v>811356</v>
      </c>
      <c r="J15" s="266">
        <v>782157</v>
      </c>
      <c r="K15" s="266">
        <v>812239</v>
      </c>
      <c r="L15" s="266">
        <v>785219</v>
      </c>
      <c r="M15" s="266">
        <v>771655</v>
      </c>
      <c r="N15" s="266">
        <v>751239</v>
      </c>
      <c r="O15" s="266">
        <v>762059</v>
      </c>
      <c r="P15" s="266">
        <v>757887</v>
      </c>
      <c r="Q15" s="266">
        <v>765039</v>
      </c>
      <c r="R15" s="266">
        <v>759110</v>
      </c>
      <c r="S15" s="266">
        <v>742099</v>
      </c>
      <c r="T15" s="266">
        <v>732116</v>
      </c>
      <c r="U15" s="266">
        <v>781699</v>
      </c>
      <c r="V15" s="266">
        <v>716183</v>
      </c>
      <c r="W15" s="266">
        <v>714759</v>
      </c>
      <c r="X15" s="266">
        <v>660989</v>
      </c>
      <c r="Y15" s="266">
        <v>671899</v>
      </c>
      <c r="Z15" s="266">
        <v>798403</v>
      </c>
      <c r="AA15" s="268">
        <v>765917</v>
      </c>
      <c r="AB15" s="266">
        <v>765917</v>
      </c>
      <c r="AC15" s="266">
        <v>703080</v>
      </c>
      <c r="AD15" s="266">
        <v>707983</v>
      </c>
      <c r="AE15" s="266">
        <v>672547</v>
      </c>
      <c r="AF15" s="266">
        <v>692995</v>
      </c>
      <c r="AG15" s="266">
        <v>662663</v>
      </c>
      <c r="AH15" s="266">
        <v>557815</v>
      </c>
      <c r="AI15" s="266">
        <v>579749</v>
      </c>
      <c r="AJ15" s="266">
        <v>662744</v>
      </c>
      <c r="AK15" s="266">
        <v>909156</v>
      </c>
      <c r="AL15" s="266">
        <v>849430</v>
      </c>
      <c r="AM15" s="266">
        <v>610305</v>
      </c>
      <c r="AN15" s="266">
        <v>655596</v>
      </c>
      <c r="AO15" s="266">
        <v>689115</v>
      </c>
    </row>
    <row r="16" spans="1:41">
      <c r="A16" s="269" t="s">
        <v>416</v>
      </c>
      <c r="B16" s="265">
        <v>6932930</v>
      </c>
      <c r="C16" s="266">
        <v>6995048</v>
      </c>
      <c r="D16" s="266">
        <f t="shared" si="1"/>
        <v>-62118</v>
      </c>
      <c r="E16" s="267">
        <f t="shared" si="0"/>
        <v>-8.8999999999999999E-3</v>
      </c>
      <c r="G16" s="266">
        <v>6995048</v>
      </c>
      <c r="H16" s="266">
        <v>7901438</v>
      </c>
      <c r="I16" s="266">
        <v>5376595</v>
      </c>
      <c r="J16" s="266">
        <v>5818464</v>
      </c>
      <c r="K16" s="266">
        <v>5694010</v>
      </c>
      <c r="L16" s="266">
        <v>5648152</v>
      </c>
      <c r="M16" s="266">
        <v>5121297</v>
      </c>
      <c r="N16" s="266">
        <v>5605948</v>
      </c>
      <c r="O16" s="266">
        <v>6859241</v>
      </c>
      <c r="P16" s="266">
        <v>7152656</v>
      </c>
      <c r="Q16" s="266">
        <v>7264042</v>
      </c>
      <c r="R16" s="266">
        <v>7646253</v>
      </c>
      <c r="S16" s="266">
        <v>7962910</v>
      </c>
      <c r="T16" s="266">
        <v>8279456</v>
      </c>
      <c r="U16" s="266">
        <v>8800035</v>
      </c>
      <c r="V16" s="266">
        <v>6348172</v>
      </c>
      <c r="W16" s="266">
        <v>6631897</v>
      </c>
      <c r="X16" s="266">
        <v>6374707</v>
      </c>
      <c r="Y16" s="266">
        <v>6463827</v>
      </c>
      <c r="Z16" s="266">
        <v>6332524</v>
      </c>
      <c r="AA16" s="268">
        <v>6269818</v>
      </c>
      <c r="AB16" s="266">
        <v>6269818</v>
      </c>
      <c r="AC16" s="266">
        <v>6322985</v>
      </c>
      <c r="AD16" s="266">
        <v>6451484</v>
      </c>
      <c r="AE16" s="266">
        <v>6509863</v>
      </c>
      <c r="AF16" s="266">
        <v>6556202</v>
      </c>
      <c r="AG16" s="266">
        <v>6911141</v>
      </c>
      <c r="AH16" s="266">
        <v>7808130</v>
      </c>
      <c r="AI16" s="266">
        <v>8253832</v>
      </c>
      <c r="AJ16" s="266">
        <v>8560568</v>
      </c>
      <c r="AK16" s="266">
        <v>9022848</v>
      </c>
      <c r="AL16" s="266">
        <f>-3370+9295682</f>
        <v>9292312</v>
      </c>
      <c r="AM16" s="266">
        <f>9864136-3347</f>
        <v>9860789</v>
      </c>
      <c r="AN16" s="266">
        <v>13547372</v>
      </c>
      <c r="AO16" s="266">
        <v>13395435</v>
      </c>
    </row>
    <row r="17" spans="1:41">
      <c r="A17" s="269" t="s">
        <v>417</v>
      </c>
      <c r="B17" s="265">
        <v>36975559</v>
      </c>
      <c r="C17" s="266">
        <v>36305881</v>
      </c>
      <c r="D17" s="266">
        <f t="shared" si="1"/>
        <v>669678</v>
      </c>
      <c r="E17" s="267">
        <f t="shared" si="0"/>
        <v>1.84E-2</v>
      </c>
      <c r="G17" s="266">
        <v>36305881</v>
      </c>
      <c r="H17" s="266">
        <v>34897777</v>
      </c>
      <c r="I17" s="266">
        <v>25055901</v>
      </c>
      <c r="J17" s="266">
        <v>23376969</v>
      </c>
      <c r="K17" s="266">
        <v>21869908</v>
      </c>
      <c r="L17" s="266">
        <v>20632018</v>
      </c>
      <c r="M17" s="266">
        <v>19911365</v>
      </c>
      <c r="N17" s="266">
        <v>19333966</v>
      </c>
      <c r="O17" s="266">
        <v>20304536</v>
      </c>
      <c r="P17" s="266">
        <v>21369537</v>
      </c>
      <c r="Q17" s="266">
        <v>21706891</v>
      </c>
      <c r="R17" s="266">
        <v>21613427</v>
      </c>
      <c r="S17" s="266">
        <v>21250879</v>
      </c>
      <c r="T17" s="266">
        <v>20824545</v>
      </c>
      <c r="U17" s="266">
        <v>20705427</v>
      </c>
      <c r="V17" s="266">
        <v>20383717</v>
      </c>
      <c r="W17" s="266">
        <v>20577905</v>
      </c>
      <c r="X17" s="266">
        <v>19961672</v>
      </c>
      <c r="Y17" s="266">
        <v>19486723</v>
      </c>
      <c r="Z17" s="266">
        <v>18820703</v>
      </c>
      <c r="AA17" s="268">
        <v>17219803</v>
      </c>
      <c r="AB17" s="266">
        <v>17219803</v>
      </c>
      <c r="AC17" s="266">
        <v>15802847</v>
      </c>
      <c r="AD17" s="266">
        <v>14729821</v>
      </c>
      <c r="AE17" s="266">
        <v>12324908</v>
      </c>
      <c r="AF17" s="266">
        <v>11306380</v>
      </c>
      <c r="AG17" s="266">
        <v>10743833</v>
      </c>
      <c r="AH17" s="266">
        <v>8303301</v>
      </c>
      <c r="AI17" s="266">
        <v>8071126</v>
      </c>
      <c r="AJ17" s="266">
        <v>7462891</v>
      </c>
      <c r="AK17" s="266">
        <v>6205861</v>
      </c>
      <c r="AL17" s="266">
        <v>5614564</v>
      </c>
      <c r="AM17" s="266">
        <v>4038308</v>
      </c>
      <c r="AN17" s="266">
        <v>958813</v>
      </c>
      <c r="AO17" s="266">
        <v>939941</v>
      </c>
    </row>
    <row r="18" spans="1:41">
      <c r="A18" s="269" t="s">
        <v>418</v>
      </c>
      <c r="B18" s="265">
        <v>5649861</v>
      </c>
      <c r="C18" s="266">
        <v>5828841</v>
      </c>
      <c r="D18" s="266">
        <f t="shared" si="1"/>
        <v>-178980</v>
      </c>
      <c r="E18" s="267">
        <f t="shared" si="0"/>
        <v>-3.0700000000000002E-2</v>
      </c>
      <c r="G18" s="266">
        <v>5828841</v>
      </c>
      <c r="H18" s="266">
        <v>6212625</v>
      </c>
      <c r="I18" s="266">
        <v>5513855</v>
      </c>
      <c r="J18" s="266">
        <v>5740221</v>
      </c>
      <c r="K18" s="266">
        <v>6137029</v>
      </c>
      <c r="L18" s="266">
        <v>6158702</v>
      </c>
      <c r="M18" s="266">
        <v>6026571</v>
      </c>
      <c r="N18" s="266">
        <v>6156124</v>
      </c>
      <c r="O18" s="266">
        <v>6721529</v>
      </c>
      <c r="P18" s="266">
        <v>6601134</v>
      </c>
      <c r="Q18" s="266">
        <v>6717821</v>
      </c>
      <c r="R18" s="266">
        <v>6788487</v>
      </c>
      <c r="S18" s="266">
        <v>6596865</v>
      </c>
      <c r="T18" s="266">
        <v>6263929</v>
      </c>
      <c r="U18" s="266">
        <v>6170015</v>
      </c>
      <c r="V18" s="266">
        <v>6033729</v>
      </c>
      <c r="W18" s="266">
        <v>5795622</v>
      </c>
      <c r="X18" s="266">
        <v>5605132</v>
      </c>
      <c r="Y18" s="266">
        <v>5424983</v>
      </c>
      <c r="Z18" s="266">
        <v>5162565</v>
      </c>
      <c r="AA18" s="268">
        <v>4496133</v>
      </c>
      <c r="AB18" s="266">
        <v>4496133</v>
      </c>
      <c r="AC18" s="266">
        <v>4236290</v>
      </c>
      <c r="AD18" s="266">
        <v>3978372</v>
      </c>
      <c r="AE18" s="266">
        <v>3237826</v>
      </c>
      <c r="AF18" s="266">
        <v>2744570</v>
      </c>
      <c r="AG18" s="266">
        <v>2641906</v>
      </c>
      <c r="AH18" s="266">
        <v>2384640</v>
      </c>
      <c r="AI18" s="266">
        <v>2113307</v>
      </c>
      <c r="AJ18" s="266">
        <v>1766169</v>
      </c>
      <c r="AK18" s="266">
        <v>1511155</v>
      </c>
      <c r="AL18" s="266">
        <v>1075460</v>
      </c>
      <c r="AM18" s="266">
        <v>736722</v>
      </c>
      <c r="AN18" s="266">
        <v>196713</v>
      </c>
      <c r="AO18" s="266">
        <v>193334</v>
      </c>
    </row>
    <row r="19" spans="1:41">
      <c r="A19" s="269" t="s">
        <v>419</v>
      </c>
      <c r="B19" s="265">
        <v>31325698</v>
      </c>
      <c r="C19" s="266">
        <v>30477040</v>
      </c>
      <c r="D19" s="266">
        <f t="shared" si="1"/>
        <v>848658</v>
      </c>
      <c r="E19" s="267">
        <f t="shared" si="0"/>
        <v>2.7799999999999998E-2</v>
      </c>
      <c r="G19" s="266">
        <v>30477040</v>
      </c>
      <c r="H19" s="266">
        <v>28685152</v>
      </c>
      <c r="I19" s="266">
        <v>19542046</v>
      </c>
      <c r="J19" s="266">
        <v>17636748</v>
      </c>
      <c r="K19" s="266">
        <v>15732879</v>
      </c>
      <c r="L19" s="266">
        <v>14473316</v>
      </c>
      <c r="M19" s="266">
        <v>13884794</v>
      </c>
      <c r="N19" s="266">
        <v>13177842</v>
      </c>
      <c r="O19" s="266">
        <v>13583007</v>
      </c>
      <c r="P19" s="266">
        <v>14768403</v>
      </c>
      <c r="Q19" s="266">
        <v>14989070</v>
      </c>
      <c r="R19" s="266">
        <v>14824940</v>
      </c>
      <c r="S19" s="266">
        <v>14654014</v>
      </c>
      <c r="T19" s="266">
        <v>14560616</v>
      </c>
      <c r="U19" s="266">
        <v>14535412</v>
      </c>
      <c r="V19" s="266">
        <v>14349988</v>
      </c>
      <c r="W19" s="266">
        <v>14782283</v>
      </c>
      <c r="X19" s="266">
        <v>14356540</v>
      </c>
      <c r="Y19" s="266">
        <v>14061740</v>
      </c>
      <c r="Z19" s="266">
        <v>13658138</v>
      </c>
      <c r="AA19" s="268">
        <v>12723670</v>
      </c>
      <c r="AB19" s="266">
        <v>12723670</v>
      </c>
      <c r="AC19" s="266">
        <v>11566557</v>
      </c>
      <c r="AD19" s="266">
        <v>10751449</v>
      </c>
      <c r="AE19" s="266">
        <v>9087082</v>
      </c>
      <c r="AF19" s="266">
        <v>8561810</v>
      </c>
      <c r="AG19" s="266">
        <v>8101927</v>
      </c>
      <c r="AH19" s="266">
        <v>5918661</v>
      </c>
      <c r="AI19" s="266">
        <v>5957819</v>
      </c>
      <c r="AJ19" s="266">
        <v>5696722</v>
      </c>
      <c r="AK19" s="266">
        <v>4694706</v>
      </c>
      <c r="AL19" s="266">
        <v>4539104</v>
      </c>
      <c r="AM19" s="266">
        <v>3301586</v>
      </c>
      <c r="AN19" s="266">
        <v>762100</v>
      </c>
      <c r="AO19" s="266">
        <v>746607</v>
      </c>
    </row>
    <row r="20" spans="1:41">
      <c r="A20" s="264" t="s">
        <v>420</v>
      </c>
      <c r="B20" s="265">
        <v>133898298</v>
      </c>
      <c r="C20" s="266">
        <v>131402471</v>
      </c>
      <c r="D20" s="266">
        <f t="shared" si="1"/>
        <v>2495827</v>
      </c>
      <c r="E20" s="267">
        <f t="shared" si="0"/>
        <v>1.9E-2</v>
      </c>
      <c r="G20" s="266">
        <v>131402471</v>
      </c>
      <c r="H20" s="266">
        <v>128530111</v>
      </c>
      <c r="I20" s="266">
        <v>94208869</v>
      </c>
      <c r="J20" s="266">
        <v>91003585</v>
      </c>
      <c r="K20" s="266">
        <v>91806382</v>
      </c>
      <c r="L20" s="266">
        <v>90586732</v>
      </c>
      <c r="M20" s="266">
        <v>90673108</v>
      </c>
      <c r="N20" s="266">
        <v>89486884</v>
      </c>
      <c r="O20" s="266">
        <v>89993197</v>
      </c>
      <c r="P20" s="266">
        <v>88545999</v>
      </c>
      <c r="Q20" s="266">
        <v>91117744</v>
      </c>
      <c r="R20" s="266">
        <v>91903326</v>
      </c>
      <c r="S20" s="266">
        <v>94193207</v>
      </c>
      <c r="T20" s="266">
        <v>94152489</v>
      </c>
      <c r="U20" s="266">
        <v>117845552</v>
      </c>
      <c r="V20" s="266">
        <v>100098198</v>
      </c>
      <c r="W20" s="266">
        <v>100862925</v>
      </c>
      <c r="X20" s="266">
        <v>99690315</v>
      </c>
      <c r="Y20" s="266">
        <v>100781232</v>
      </c>
      <c r="Z20" s="266">
        <v>96140767</v>
      </c>
      <c r="AA20" s="268">
        <v>62888784</v>
      </c>
      <c r="AB20" s="266">
        <v>62888784</v>
      </c>
      <c r="AC20" s="266">
        <v>60025257</v>
      </c>
      <c r="AD20" s="266">
        <v>58010131</v>
      </c>
      <c r="AE20" s="266">
        <v>54953846</v>
      </c>
      <c r="AF20" s="266">
        <v>54353634</v>
      </c>
      <c r="AG20" s="266">
        <v>56244776</v>
      </c>
      <c r="AH20" s="266">
        <v>49158263</v>
      </c>
      <c r="AI20" s="266">
        <v>48684687</v>
      </c>
      <c r="AJ20" s="266">
        <v>48594875</v>
      </c>
      <c r="AK20" s="266">
        <v>49660565</v>
      </c>
      <c r="AL20" s="266">
        <f>+AL21+AL22+AL23</f>
        <v>48951969</v>
      </c>
      <c r="AM20" s="266">
        <f>+AM21+AM22+AM23</f>
        <v>48902545</v>
      </c>
      <c r="AN20" s="266">
        <f>+AN21+AN22+AN23</f>
        <v>49472225</v>
      </c>
      <c r="AO20" s="266">
        <f>+AO21+AO22+AO23</f>
        <v>50624967</v>
      </c>
    </row>
    <row r="21" spans="1:41">
      <c r="A21" s="269" t="s">
        <v>473</v>
      </c>
      <c r="B21" s="265">
        <v>4917007</v>
      </c>
      <c r="C21" s="266">
        <v>2495176</v>
      </c>
      <c r="D21" s="266">
        <f t="shared" si="1"/>
        <v>2421831</v>
      </c>
      <c r="E21" s="267">
        <f t="shared" si="0"/>
        <v>0.97060000000000002</v>
      </c>
      <c r="G21" s="266">
        <v>2495176</v>
      </c>
      <c r="H21" s="266">
        <v>2215006</v>
      </c>
      <c r="I21" s="266">
        <v>1336353</v>
      </c>
      <c r="J21" s="266">
        <v>1213462</v>
      </c>
      <c r="K21" s="266">
        <v>1544202</v>
      </c>
      <c r="L21" s="266">
        <v>1536717</v>
      </c>
      <c r="M21" s="266">
        <v>1573342</v>
      </c>
      <c r="N21" s="266">
        <v>1637850</v>
      </c>
      <c r="O21" s="266">
        <v>1661081</v>
      </c>
      <c r="P21" s="266">
        <v>1769525</v>
      </c>
      <c r="Q21" s="266">
        <v>1928446</v>
      </c>
      <c r="R21" s="266">
        <v>2348510</v>
      </c>
      <c r="S21" s="266">
        <v>2885583</v>
      </c>
      <c r="T21" s="266">
        <v>3205666</v>
      </c>
      <c r="U21" s="266">
        <v>26607250</v>
      </c>
      <c r="V21" s="266">
        <v>21321600</v>
      </c>
      <c r="W21" s="266">
        <v>21695054</v>
      </c>
      <c r="X21" s="266">
        <v>23150018</v>
      </c>
      <c r="Y21" s="266">
        <v>24433936</v>
      </c>
      <c r="Z21" s="266">
        <v>20716710</v>
      </c>
      <c r="AA21" s="268">
        <v>9856598</v>
      </c>
      <c r="AB21" s="266">
        <v>9856598</v>
      </c>
      <c r="AC21" s="266">
        <v>7110099</v>
      </c>
      <c r="AD21" s="266">
        <v>5100751</v>
      </c>
      <c r="AE21" s="266">
        <v>3893926</v>
      </c>
      <c r="AF21" s="266">
        <v>2321809</v>
      </c>
      <c r="AG21" s="266">
        <v>3722040</v>
      </c>
      <c r="AH21" s="266">
        <v>2616439</v>
      </c>
      <c r="AI21" s="266">
        <v>2173016</v>
      </c>
      <c r="AJ21" s="266">
        <v>1540509</v>
      </c>
      <c r="AK21" s="266">
        <v>4009534</v>
      </c>
      <c r="AL21" s="266">
        <v>3146234</v>
      </c>
      <c r="AM21" s="266">
        <v>3495614</v>
      </c>
      <c r="AN21" s="266">
        <v>3000199</v>
      </c>
      <c r="AO21" s="266">
        <v>3012515</v>
      </c>
    </row>
    <row r="22" spans="1:41">
      <c r="A22" s="269" t="s">
        <v>474</v>
      </c>
      <c r="B22" s="265">
        <v>128800224</v>
      </c>
      <c r="C22" s="266">
        <v>128738065</v>
      </c>
      <c r="D22" s="266">
        <f t="shared" si="1"/>
        <v>62159</v>
      </c>
      <c r="E22" s="267">
        <f t="shared" si="0"/>
        <v>5.0000000000000001E-4</v>
      </c>
      <c r="G22" s="266">
        <v>128738065</v>
      </c>
      <c r="H22" s="266">
        <v>125927900</v>
      </c>
      <c r="I22" s="266">
        <v>92700832</v>
      </c>
      <c r="J22" s="266">
        <v>89598880</v>
      </c>
      <c r="K22" s="266">
        <v>90136389</v>
      </c>
      <c r="L22" s="266">
        <v>88877975</v>
      </c>
      <c r="M22" s="266">
        <v>88962488</v>
      </c>
      <c r="N22" s="266">
        <v>87708733</v>
      </c>
      <c r="O22" s="266">
        <v>88224354</v>
      </c>
      <c r="P22" s="266">
        <v>86672062</v>
      </c>
      <c r="Q22" s="266">
        <v>89094989</v>
      </c>
      <c r="R22" s="266">
        <v>89400944</v>
      </c>
      <c r="S22" s="266">
        <v>91174835</v>
      </c>
      <c r="T22" s="266">
        <v>90801472</v>
      </c>
      <c r="U22" s="266">
        <v>91082284</v>
      </c>
      <c r="V22" s="266">
        <v>78709172</v>
      </c>
      <c r="W22" s="266">
        <v>79112914</v>
      </c>
      <c r="X22" s="266">
        <v>76482758</v>
      </c>
      <c r="Y22" s="266">
        <v>76290302</v>
      </c>
      <c r="Z22" s="266">
        <v>75367414</v>
      </c>
      <c r="AA22" s="268">
        <v>53005879</v>
      </c>
      <c r="AB22" s="266">
        <v>53005879</v>
      </c>
      <c r="AC22" s="266">
        <v>52889342</v>
      </c>
      <c r="AD22" s="266">
        <v>52883574</v>
      </c>
      <c r="AE22" s="266">
        <v>51034124</v>
      </c>
      <c r="AF22" s="266">
        <v>52006038</v>
      </c>
      <c r="AG22" s="266">
        <v>52496061</v>
      </c>
      <c r="AH22" s="266">
        <v>46541824</v>
      </c>
      <c r="AI22" s="266">
        <v>46511671</v>
      </c>
      <c r="AJ22" s="266">
        <v>47050942</v>
      </c>
      <c r="AK22" s="266">
        <v>45647637</v>
      </c>
      <c r="AL22" s="266">
        <v>45802365</v>
      </c>
      <c r="AM22" s="266">
        <v>45403584</v>
      </c>
      <c r="AN22" s="266">
        <v>46468704</v>
      </c>
      <c r="AO22" s="266">
        <v>47609130</v>
      </c>
    </row>
    <row r="23" spans="1:41">
      <c r="A23" s="269" t="s">
        <v>536</v>
      </c>
      <c r="B23" s="265">
        <v>181067</v>
      </c>
      <c r="C23" s="266">
        <v>169230</v>
      </c>
      <c r="D23" s="266">
        <f t="shared" si="1"/>
        <v>11837</v>
      </c>
      <c r="E23" s="267">
        <f t="shared" si="0"/>
        <v>6.9900000000000004E-2</v>
      </c>
      <c r="G23" s="266">
        <v>169230</v>
      </c>
      <c r="H23" s="266">
        <v>387205</v>
      </c>
      <c r="I23" s="266">
        <v>171684</v>
      </c>
      <c r="J23" s="266">
        <v>191243</v>
      </c>
      <c r="K23" s="266">
        <v>125791</v>
      </c>
      <c r="L23" s="266">
        <v>172040</v>
      </c>
      <c r="M23" s="266">
        <v>137278</v>
      </c>
      <c r="N23" s="266">
        <v>140301</v>
      </c>
      <c r="O23" s="266">
        <v>107762</v>
      </c>
      <c r="P23" s="266">
        <v>104412</v>
      </c>
      <c r="Q23" s="266">
        <v>94309</v>
      </c>
      <c r="R23" s="266">
        <v>153872</v>
      </c>
      <c r="S23" s="266">
        <v>132789</v>
      </c>
      <c r="T23" s="266">
        <v>145351</v>
      </c>
      <c r="U23" s="266">
        <v>156018</v>
      </c>
      <c r="V23" s="266">
        <v>67426</v>
      </c>
      <c r="W23" s="266">
        <v>54957</v>
      </c>
      <c r="X23" s="266">
        <v>57539</v>
      </c>
      <c r="Y23" s="266">
        <v>56994</v>
      </c>
      <c r="Z23" s="266">
        <v>56643</v>
      </c>
      <c r="AA23" s="268">
        <v>26307</v>
      </c>
      <c r="AB23" s="266">
        <v>26307</v>
      </c>
      <c r="AC23" s="266">
        <v>25816</v>
      </c>
      <c r="AD23" s="266">
        <v>25806</v>
      </c>
      <c r="AE23" s="266">
        <v>25796</v>
      </c>
      <c r="AF23" s="266">
        <v>25787</v>
      </c>
      <c r="AG23" s="266">
        <v>26675</v>
      </c>
      <c r="AH23" s="266">
        <v>0</v>
      </c>
      <c r="AI23" s="266">
        <v>0</v>
      </c>
      <c r="AJ23" s="266">
        <v>3424</v>
      </c>
      <c r="AK23" s="266">
        <v>3394</v>
      </c>
      <c r="AL23" s="266">
        <v>3370</v>
      </c>
      <c r="AM23" s="266">
        <v>3347</v>
      </c>
      <c r="AN23" s="266">
        <v>3322</v>
      </c>
      <c r="AO23" s="266">
        <v>3322</v>
      </c>
    </row>
    <row r="24" spans="1:41">
      <c r="A24" s="264" t="s">
        <v>535</v>
      </c>
      <c r="B24" s="265">
        <v>675866</v>
      </c>
      <c r="C24" s="266">
        <v>695758</v>
      </c>
      <c r="D24" s="266">
        <f>+B24-C24</f>
        <v>-19892</v>
      </c>
      <c r="E24" s="267">
        <f t="shared" si="0"/>
        <v>-2.86E-2</v>
      </c>
      <c r="G24" s="266">
        <v>695758</v>
      </c>
      <c r="H24" s="266">
        <v>625500</v>
      </c>
      <c r="I24" s="266">
        <v>620679</v>
      </c>
      <c r="J24" s="266">
        <v>626591</v>
      </c>
      <c r="K24" s="266">
        <v>649437</v>
      </c>
      <c r="L24" s="266">
        <v>796448</v>
      </c>
      <c r="M24" s="266">
        <v>953186</v>
      </c>
      <c r="N24" s="266">
        <f>+N25+N26</f>
        <v>921537</v>
      </c>
      <c r="O24" s="266">
        <v>1122566</v>
      </c>
      <c r="P24" s="266">
        <v>1668355</v>
      </c>
      <c r="Q24" s="266">
        <v>1652102</v>
      </c>
      <c r="R24" s="266"/>
      <c r="S24" s="266"/>
      <c r="T24" s="266"/>
      <c r="U24" s="266"/>
      <c r="V24" s="266"/>
      <c r="W24" s="266"/>
      <c r="X24" s="266"/>
      <c r="Y24" s="266"/>
      <c r="Z24" s="266"/>
      <c r="AA24" s="268"/>
      <c r="AB24" s="266"/>
      <c r="AC24" s="266"/>
      <c r="AD24" s="266"/>
      <c r="AE24" s="266"/>
      <c r="AF24" s="266"/>
      <c r="AG24" s="266"/>
      <c r="AH24" s="266"/>
      <c r="AI24" s="266"/>
      <c r="AJ24" s="266"/>
      <c r="AK24" s="266"/>
      <c r="AL24" s="266"/>
      <c r="AM24" s="266"/>
      <c r="AN24" s="266"/>
      <c r="AO24" s="266"/>
    </row>
    <row r="25" spans="1:41">
      <c r="A25" s="269" t="s">
        <v>512</v>
      </c>
      <c r="B25" s="265">
        <v>761795</v>
      </c>
      <c r="C25" s="266">
        <v>779557</v>
      </c>
      <c r="D25" s="266">
        <f>+B25-C25</f>
        <v>-17762</v>
      </c>
      <c r="E25" s="267">
        <f t="shared" si="0"/>
        <v>-2.2800000000000001E-2</v>
      </c>
      <c r="G25" s="266">
        <v>779557</v>
      </c>
      <c r="H25" s="266">
        <v>653093</v>
      </c>
      <c r="I25" s="266">
        <v>629446</v>
      </c>
      <c r="J25" s="266">
        <f>+J24</f>
        <v>626591</v>
      </c>
      <c r="K25" s="266">
        <v>649437</v>
      </c>
      <c r="L25" s="266">
        <v>796448</v>
      </c>
      <c r="M25" s="266">
        <v>953186</v>
      </c>
      <c r="N25" s="266">
        <v>921537</v>
      </c>
      <c r="O25" s="266">
        <v>1122566</v>
      </c>
      <c r="P25" s="266">
        <v>1690412</v>
      </c>
      <c r="Q25" s="266">
        <v>1650822</v>
      </c>
      <c r="R25" s="266">
        <v>1688263</v>
      </c>
      <c r="S25" s="266">
        <v>1808515</v>
      </c>
      <c r="T25" s="266">
        <v>1766702</v>
      </c>
      <c r="U25" s="266">
        <v>1227529</v>
      </c>
      <c r="V25" s="266">
        <v>579095</v>
      </c>
      <c r="W25" s="266">
        <v>178108</v>
      </c>
      <c r="X25" s="266">
        <v>135450</v>
      </c>
      <c r="Y25" s="266">
        <v>121425</v>
      </c>
      <c r="Z25" s="266">
        <v>127721</v>
      </c>
      <c r="AA25" s="268">
        <v>57776</v>
      </c>
      <c r="AB25" s="266">
        <v>57776</v>
      </c>
      <c r="AC25" s="266">
        <v>49631</v>
      </c>
      <c r="AD25" s="266">
        <v>49653</v>
      </c>
      <c r="AE25" s="266">
        <v>53100</v>
      </c>
      <c r="AF25" s="266">
        <v>82185</v>
      </c>
      <c r="AG25" s="266">
        <v>65401</v>
      </c>
      <c r="AH25" s="266">
        <v>53567</v>
      </c>
      <c r="AI25" s="266">
        <v>33816</v>
      </c>
      <c r="AJ25" s="266">
        <v>35564</v>
      </c>
      <c r="AK25" s="266">
        <v>57469</v>
      </c>
      <c r="AL25" s="266">
        <v>50066</v>
      </c>
      <c r="AM25" s="266">
        <v>51075</v>
      </c>
      <c r="AN25" s="266">
        <v>54061</v>
      </c>
      <c r="AO25" s="266">
        <v>54061</v>
      </c>
    </row>
    <row r="26" spans="1:41">
      <c r="A26" s="269" t="s">
        <v>533</v>
      </c>
      <c r="B26" s="265">
        <v>-85929</v>
      </c>
      <c r="C26" s="266">
        <v>-83799</v>
      </c>
      <c r="D26" s="266">
        <f>+B26-C26</f>
        <v>-2130</v>
      </c>
      <c r="E26" s="267">
        <f t="shared" si="0"/>
        <v>2.5399999999999999E-2</v>
      </c>
      <c r="G26" s="266">
        <v>-83799</v>
      </c>
      <c r="H26" s="266">
        <v>-27593</v>
      </c>
      <c r="I26" s="266">
        <v>-8767</v>
      </c>
      <c r="J26" s="266">
        <v>0</v>
      </c>
      <c r="K26" s="266">
        <v>0</v>
      </c>
      <c r="L26" s="266">
        <v>0</v>
      </c>
      <c r="M26" s="266">
        <v>0</v>
      </c>
      <c r="N26" s="266">
        <v>0</v>
      </c>
      <c r="O26" s="266">
        <v>0</v>
      </c>
      <c r="P26" s="266">
        <v>-22057</v>
      </c>
      <c r="Q26" s="266">
        <v>1280</v>
      </c>
      <c r="R26" s="266"/>
      <c r="S26" s="266"/>
      <c r="T26" s="266"/>
      <c r="U26" s="266"/>
      <c r="V26" s="266"/>
      <c r="W26" s="266"/>
      <c r="X26" s="266"/>
      <c r="Y26" s="266"/>
      <c r="Z26" s="266"/>
      <c r="AA26" s="268"/>
      <c r="AB26" s="266"/>
      <c r="AC26" s="266"/>
      <c r="AD26" s="266"/>
      <c r="AE26" s="266"/>
      <c r="AF26" s="266"/>
      <c r="AG26" s="266"/>
      <c r="AH26" s="266"/>
      <c r="AI26" s="266"/>
      <c r="AJ26" s="266"/>
      <c r="AK26" s="266"/>
      <c r="AL26" s="266"/>
      <c r="AM26" s="266"/>
      <c r="AN26" s="266"/>
      <c r="AO26" s="266"/>
    </row>
    <row r="27" spans="1:41">
      <c r="A27" s="270" t="s">
        <v>363</v>
      </c>
      <c r="B27" s="265">
        <v>895762</v>
      </c>
      <c r="C27" s="266">
        <v>869937</v>
      </c>
      <c r="D27" s="266">
        <f t="shared" si="1"/>
        <v>25825</v>
      </c>
      <c r="E27" s="267">
        <f t="shared" si="0"/>
        <v>2.9700000000000001E-2</v>
      </c>
      <c r="G27" s="266">
        <v>869937</v>
      </c>
      <c r="H27" s="266">
        <v>575482</v>
      </c>
      <c r="I27" s="266">
        <v>305286</v>
      </c>
      <c r="J27" s="266">
        <v>307727</v>
      </c>
      <c r="K27" s="266">
        <v>302494</v>
      </c>
      <c r="L27" s="266">
        <v>460455</v>
      </c>
      <c r="M27" s="266">
        <v>458035</v>
      </c>
      <c r="N27" s="266">
        <v>462374</v>
      </c>
      <c r="O27" s="266">
        <v>422046</v>
      </c>
      <c r="P27" s="266">
        <v>412034</v>
      </c>
      <c r="Q27" s="266">
        <v>361736</v>
      </c>
      <c r="R27" s="266">
        <v>389785</v>
      </c>
      <c r="S27" s="266">
        <v>376158</v>
      </c>
      <c r="T27" s="266">
        <v>370927</v>
      </c>
      <c r="U27" s="266">
        <v>364347</v>
      </c>
      <c r="V27" s="266">
        <v>244196</v>
      </c>
      <c r="W27" s="266">
        <v>240534</v>
      </c>
      <c r="X27" s="266">
        <v>230738</v>
      </c>
      <c r="Y27" s="266">
        <v>228451</v>
      </c>
      <c r="Z27" s="266">
        <v>230247</v>
      </c>
      <c r="AA27" s="268">
        <v>225558</v>
      </c>
      <c r="AB27" s="266">
        <v>225558</v>
      </c>
      <c r="AC27" s="266">
        <v>220254</v>
      </c>
      <c r="AD27" s="266">
        <v>218480</v>
      </c>
      <c r="AE27" s="266">
        <v>225358</v>
      </c>
      <c r="AF27" s="266">
        <v>225869</v>
      </c>
      <c r="AG27" s="266">
        <v>251613</v>
      </c>
      <c r="AH27" s="266">
        <v>453046</v>
      </c>
      <c r="AI27" s="266">
        <v>450000</v>
      </c>
      <c r="AJ27" s="266">
        <v>446049</v>
      </c>
      <c r="AK27" s="266">
        <v>444844</v>
      </c>
      <c r="AL27" s="266">
        <v>448990</v>
      </c>
      <c r="AM27" s="266">
        <v>456075</v>
      </c>
      <c r="AN27" s="266">
        <v>454367</v>
      </c>
      <c r="AO27" s="266">
        <v>454367</v>
      </c>
    </row>
    <row r="28" spans="1:41">
      <c r="A28" s="270" t="s">
        <v>22</v>
      </c>
      <c r="B28" s="265">
        <v>3114948</v>
      </c>
      <c r="C28" s="266">
        <v>3132924</v>
      </c>
      <c r="D28" s="266">
        <f t="shared" si="1"/>
        <v>-17976</v>
      </c>
      <c r="E28" s="267">
        <f t="shared" si="0"/>
        <v>-5.7000000000000002E-3</v>
      </c>
      <c r="G28" s="266">
        <v>3132924</v>
      </c>
      <c r="H28" s="266">
        <v>3112196</v>
      </c>
      <c r="I28" s="266">
        <v>2454306</v>
      </c>
      <c r="J28" s="266">
        <v>2489375</v>
      </c>
      <c r="K28" s="266">
        <v>2502191</v>
      </c>
      <c r="L28" s="266">
        <v>2513148</v>
      </c>
      <c r="M28" s="266">
        <v>2538849</v>
      </c>
      <c r="N28" s="266">
        <v>2547591</v>
      </c>
      <c r="O28" s="266">
        <v>2456850</v>
      </c>
      <c r="P28" s="266">
        <v>2479234</v>
      </c>
      <c r="Q28" s="266">
        <v>2495369</v>
      </c>
      <c r="R28" s="266">
        <v>2504243</v>
      </c>
      <c r="S28" s="266">
        <v>2546295</v>
      </c>
      <c r="T28" s="266">
        <v>2612725</v>
      </c>
      <c r="U28" s="266">
        <v>2625704</v>
      </c>
      <c r="V28" s="266">
        <v>1949535</v>
      </c>
      <c r="W28" s="266">
        <v>1946456</v>
      </c>
      <c r="X28" s="266">
        <v>2051718</v>
      </c>
      <c r="Y28" s="266">
        <v>2064470</v>
      </c>
      <c r="Z28" s="266">
        <v>1883796</v>
      </c>
      <c r="AA28" s="268">
        <v>1366915</v>
      </c>
      <c r="AB28" s="266">
        <v>1352690</v>
      </c>
      <c r="AC28" s="266">
        <v>1345489</v>
      </c>
      <c r="AD28" s="266">
        <v>1347121</v>
      </c>
      <c r="AE28" s="266">
        <v>1367636</v>
      </c>
      <c r="AF28" s="266">
        <v>1369724</v>
      </c>
      <c r="AG28" s="266">
        <v>1356757</v>
      </c>
      <c r="AH28" s="266">
        <v>1261800</v>
      </c>
      <c r="AI28" s="266">
        <v>1270023</v>
      </c>
      <c r="AJ28" s="266">
        <v>1063273</v>
      </c>
      <c r="AK28" s="266">
        <v>1051767</v>
      </c>
      <c r="AL28" s="266">
        <v>1056260</v>
      </c>
      <c r="AM28" s="266">
        <v>1057326</v>
      </c>
      <c r="AN28" s="266">
        <v>1063483</v>
      </c>
      <c r="AO28" s="266">
        <v>1063483</v>
      </c>
    </row>
    <row r="29" spans="1:41">
      <c r="A29" s="264" t="s">
        <v>24</v>
      </c>
      <c r="B29" s="265">
        <v>1564769</v>
      </c>
      <c r="C29" s="266">
        <v>1608239</v>
      </c>
      <c r="D29" s="266">
        <f t="shared" si="1"/>
        <v>-43470</v>
      </c>
      <c r="E29" s="267">
        <f t="shared" si="0"/>
        <v>-2.7E-2</v>
      </c>
      <c r="G29" s="266">
        <v>1608239</v>
      </c>
      <c r="H29" s="266">
        <v>1766491</v>
      </c>
      <c r="I29" s="266">
        <v>712669</v>
      </c>
      <c r="J29" s="266">
        <v>702681</v>
      </c>
      <c r="K29" s="266">
        <v>710763</v>
      </c>
      <c r="L29" s="266">
        <v>683486</v>
      </c>
      <c r="M29" s="266">
        <v>675890</v>
      </c>
      <c r="N29" s="266">
        <v>661080</v>
      </c>
      <c r="O29" s="266">
        <v>648981</v>
      </c>
      <c r="P29" s="266">
        <v>572170</v>
      </c>
      <c r="Q29" s="266">
        <v>549910</v>
      </c>
      <c r="R29" s="266">
        <v>559551</v>
      </c>
      <c r="S29" s="266">
        <v>563502</v>
      </c>
      <c r="T29" s="266">
        <v>488845</v>
      </c>
      <c r="U29" s="266">
        <v>476977</v>
      </c>
      <c r="V29" s="266">
        <v>463930</v>
      </c>
      <c r="W29" s="266">
        <v>459197</v>
      </c>
      <c r="X29" s="266">
        <v>478192</v>
      </c>
      <c r="Y29" s="266">
        <v>473051</v>
      </c>
      <c r="Z29" s="266">
        <v>465852</v>
      </c>
      <c r="AA29" s="268">
        <v>702723</v>
      </c>
      <c r="AB29" s="266">
        <v>702723</v>
      </c>
      <c r="AC29" s="266">
        <v>660733</v>
      </c>
      <c r="AD29" s="266">
        <v>657953</v>
      </c>
      <c r="AE29" s="266">
        <v>660791</v>
      </c>
      <c r="AF29" s="266">
        <v>669847</v>
      </c>
      <c r="AG29" s="266">
        <v>612235</v>
      </c>
      <c r="AH29" s="266">
        <v>431922</v>
      </c>
      <c r="AI29" s="266">
        <v>438265</v>
      </c>
      <c r="AJ29" s="266">
        <v>445689</v>
      </c>
      <c r="AK29" s="266">
        <v>495059</v>
      </c>
      <c r="AL29" s="266">
        <v>497340</v>
      </c>
      <c r="AM29" s="266">
        <v>499403</v>
      </c>
      <c r="AN29" s="266">
        <v>506627</v>
      </c>
      <c r="AO29" s="266">
        <v>506627</v>
      </c>
    </row>
    <row r="30" spans="1:41">
      <c r="A30" s="270" t="s">
        <v>537</v>
      </c>
      <c r="B30" s="271">
        <v>575706</v>
      </c>
      <c r="C30" s="266">
        <v>575706</v>
      </c>
      <c r="D30" s="266">
        <f t="shared" si="1"/>
        <v>0</v>
      </c>
      <c r="E30" s="267" t="str">
        <f t="shared" si="0"/>
        <v>-</v>
      </c>
      <c r="G30" s="266">
        <v>575706</v>
      </c>
      <c r="H30" s="266">
        <v>1201876</v>
      </c>
      <c r="I30" s="266">
        <v>170018</v>
      </c>
      <c r="J30" s="266">
        <v>170018</v>
      </c>
      <c r="K30" s="266">
        <v>170018</v>
      </c>
      <c r="L30" s="266">
        <v>170018</v>
      </c>
      <c r="M30" s="266">
        <v>170018</v>
      </c>
      <c r="N30" s="266">
        <v>170018</v>
      </c>
      <c r="O30" s="266">
        <v>170018</v>
      </c>
      <c r="P30" s="266">
        <v>197624</v>
      </c>
      <c r="Q30" s="266">
        <v>197624</v>
      </c>
      <c r="R30" s="266">
        <v>204392</v>
      </c>
      <c r="S30" s="266">
        <v>204392</v>
      </c>
      <c r="T30" s="266">
        <v>204392</v>
      </c>
      <c r="U30" s="266">
        <v>204392</v>
      </c>
      <c r="V30" s="266">
        <v>204392</v>
      </c>
      <c r="W30" s="266">
        <v>204392</v>
      </c>
      <c r="X30" s="266">
        <v>204392</v>
      </c>
      <c r="Y30" s="266">
        <v>204392</v>
      </c>
      <c r="Z30" s="266">
        <v>204392</v>
      </c>
      <c r="AA30" s="268">
        <v>434758</v>
      </c>
      <c r="AB30" s="266">
        <v>434758</v>
      </c>
      <c r="AC30" s="266">
        <v>434758</v>
      </c>
      <c r="AD30" s="266">
        <v>434758</v>
      </c>
      <c r="AE30" s="266">
        <v>434758</v>
      </c>
      <c r="AF30" s="266">
        <v>434758</v>
      </c>
      <c r="AG30" s="266">
        <v>434758</v>
      </c>
      <c r="AH30" s="266">
        <v>264740</v>
      </c>
      <c r="AI30" s="266">
        <v>264740</v>
      </c>
      <c r="AJ30" s="266">
        <v>264740</v>
      </c>
      <c r="AK30" s="266">
        <v>327084</v>
      </c>
      <c r="AL30" s="266">
        <v>327084</v>
      </c>
      <c r="AM30" s="266">
        <v>327084</v>
      </c>
      <c r="AN30" s="266">
        <v>327084</v>
      </c>
      <c r="AO30" s="266">
        <v>327084</v>
      </c>
    </row>
    <row r="31" spans="1:41">
      <c r="A31" s="270" t="s">
        <v>421</v>
      </c>
      <c r="B31" s="265">
        <v>9038768</v>
      </c>
      <c r="C31" s="266">
        <v>9542449</v>
      </c>
      <c r="D31" s="266">
        <f>+B31-C31</f>
        <v>-503681</v>
      </c>
      <c r="E31" s="267">
        <f t="shared" si="0"/>
        <v>-5.28E-2</v>
      </c>
      <c r="G31" s="266">
        <v>9542449</v>
      </c>
      <c r="H31" s="266">
        <v>14287965</v>
      </c>
      <c r="I31" s="266">
        <v>6593943</v>
      </c>
      <c r="J31" s="266">
        <v>8439945</v>
      </c>
      <c r="K31" s="266">
        <v>7691483</v>
      </c>
      <c r="L31" s="266">
        <v>8240259</v>
      </c>
      <c r="M31" s="266">
        <v>9005629</v>
      </c>
      <c r="N31" s="266">
        <v>8596525</v>
      </c>
      <c r="O31" s="266">
        <v>8798699</v>
      </c>
      <c r="P31" s="266">
        <v>8175211</v>
      </c>
      <c r="Q31" s="266">
        <v>8075478</v>
      </c>
      <c r="R31" s="266">
        <v>7248476</v>
      </c>
      <c r="S31" s="266">
        <v>8151909</v>
      </c>
      <c r="T31" s="266">
        <v>7419487</v>
      </c>
      <c r="U31" s="266">
        <v>6752744</v>
      </c>
      <c r="V31" s="266">
        <v>3281269</v>
      </c>
      <c r="W31" s="266">
        <v>2980991</v>
      </c>
      <c r="X31" s="266">
        <v>3494184</v>
      </c>
      <c r="Y31" s="266">
        <v>3402892</v>
      </c>
      <c r="Z31" s="266">
        <v>3153328</v>
      </c>
      <c r="AA31" s="268">
        <v>2675920</v>
      </c>
      <c r="AB31" s="266">
        <v>2679200</v>
      </c>
      <c r="AC31" s="266">
        <v>2640208</v>
      </c>
      <c r="AD31" s="266">
        <v>2936605</v>
      </c>
      <c r="AE31" s="266">
        <v>2558012</v>
      </c>
      <c r="AF31" s="266">
        <v>2808403</v>
      </c>
      <c r="AG31" s="266">
        <v>2893584</v>
      </c>
      <c r="AH31" s="266">
        <v>2669393</v>
      </c>
      <c r="AI31" s="266">
        <v>2486591</v>
      </c>
      <c r="AJ31" s="266">
        <v>2437451</v>
      </c>
      <c r="AK31" s="266">
        <v>2477622</v>
      </c>
      <c r="AL31" s="266">
        <v>2610017</v>
      </c>
      <c r="AM31" s="266">
        <v>2489238</v>
      </c>
      <c r="AN31" s="266">
        <v>2550510</v>
      </c>
      <c r="AO31" s="266">
        <v>2553026</v>
      </c>
    </row>
    <row r="32" spans="1:41">
      <c r="A32" s="272" t="s">
        <v>422</v>
      </c>
      <c r="B32" s="273">
        <v>206878678</v>
      </c>
      <c r="C32" s="274">
        <v>204649960</v>
      </c>
      <c r="D32" s="274">
        <f>+B32-C32</f>
        <v>2228718</v>
      </c>
      <c r="E32" s="275">
        <f t="shared" si="0"/>
        <v>1.09E-2</v>
      </c>
      <c r="G32" s="274">
        <v>204649960</v>
      </c>
      <c r="H32" s="274">
        <v>204839719</v>
      </c>
      <c r="I32" s="274">
        <v>144528170</v>
      </c>
      <c r="J32" s="274">
        <v>141956502</v>
      </c>
      <c r="K32" s="274">
        <v>140591432</v>
      </c>
      <c r="L32" s="274">
        <v>139935500</v>
      </c>
      <c r="M32" s="274">
        <v>139397353</v>
      </c>
      <c r="N32" s="274">
        <v>140069079</v>
      </c>
      <c r="O32" s="274">
        <v>142128359</v>
      </c>
      <c r="P32" s="274">
        <v>143456820</v>
      </c>
      <c r="Q32" s="274">
        <v>143092178</v>
      </c>
      <c r="R32" s="274">
        <v>151139202</v>
      </c>
      <c r="S32" s="274">
        <v>152302794</v>
      </c>
      <c r="T32" s="274">
        <v>162954262</v>
      </c>
      <c r="U32" s="274">
        <v>161679069</v>
      </c>
      <c r="V32" s="274">
        <v>135821912</v>
      </c>
      <c r="W32" s="274">
        <v>136347873</v>
      </c>
      <c r="X32" s="274">
        <v>134174312</v>
      </c>
      <c r="Y32" s="274">
        <v>134801623</v>
      </c>
      <c r="Z32" s="274">
        <v>128998899</v>
      </c>
      <c r="AA32" s="276">
        <v>93061783</v>
      </c>
      <c r="AB32" s="274">
        <v>93050838</v>
      </c>
      <c r="AC32" s="274">
        <v>88617989</v>
      </c>
      <c r="AD32" s="274">
        <v>85935547</v>
      </c>
      <c r="AE32" s="274">
        <v>80099316</v>
      </c>
      <c r="AF32" s="274">
        <v>79033498</v>
      </c>
      <c r="AG32" s="274">
        <v>80695426</v>
      </c>
      <c r="AH32" s="274">
        <v>71582668</v>
      </c>
      <c r="AI32" s="274">
        <v>71097409</v>
      </c>
      <c r="AJ32" s="274">
        <v>70634767</v>
      </c>
      <c r="AK32" s="274">
        <v>71221877</v>
      </c>
      <c r="AL32" s="274">
        <f>SUM(AL11:AL31)-AL12-AL20-AL30-AL17</f>
        <v>70296735</v>
      </c>
      <c r="AM32" s="274">
        <f t="shared" ref="AM32:AO32" si="2">SUM(AM11:AM31)-AM12-AM20-AM30-AM17</f>
        <v>68938194</v>
      </c>
      <c r="AN32" s="274">
        <f t="shared" si="2"/>
        <v>70320839</v>
      </c>
      <c r="AO32" s="274">
        <f t="shared" si="2"/>
        <v>71338807</v>
      </c>
    </row>
    <row r="33" spans="1:41">
      <c r="AA33" s="277"/>
    </row>
    <row r="34" spans="1:41">
      <c r="AA34" s="277"/>
    </row>
    <row r="35" spans="1:41">
      <c r="A35" s="278" t="s">
        <v>187</v>
      </c>
      <c r="B35" s="279" t="s">
        <v>597</v>
      </c>
      <c r="C35" s="280" t="s">
        <v>586</v>
      </c>
      <c r="D35" s="281" t="str">
        <f>+D10</f>
        <v>Variazioni</v>
      </c>
      <c r="E35" s="280" t="s">
        <v>453</v>
      </c>
      <c r="F35" s="282"/>
      <c r="G35" s="280" t="s">
        <v>586</v>
      </c>
      <c r="H35" s="280" t="s">
        <v>584</v>
      </c>
      <c r="I35" s="280" t="s">
        <v>582</v>
      </c>
      <c r="J35" s="280" t="str">
        <f>+J10</f>
        <v>31.03.2025</v>
      </c>
      <c r="K35" s="280" t="str">
        <f>+K10</f>
        <v>31.12.2024</v>
      </c>
      <c r="L35" s="280" t="str">
        <f>+L10</f>
        <v>30.09.2024</v>
      </c>
      <c r="M35" s="280" t="s">
        <v>575</v>
      </c>
      <c r="N35" s="280" t="str">
        <f>+N10</f>
        <v>31.03.2024</v>
      </c>
      <c r="O35" s="280" t="str">
        <f>+O10</f>
        <v>31.12.2023</v>
      </c>
      <c r="P35" s="280" t="str">
        <f>+P10</f>
        <v>30.09.2023</v>
      </c>
      <c r="Q35" s="280" t="s">
        <v>532</v>
      </c>
      <c r="R35" s="280" t="s">
        <v>531</v>
      </c>
      <c r="S35" s="280" t="s">
        <v>529</v>
      </c>
      <c r="T35" s="283" t="s">
        <v>517</v>
      </c>
      <c r="U35" s="283" t="s">
        <v>516</v>
      </c>
      <c r="V35" s="283" t="s">
        <v>515</v>
      </c>
      <c r="W35" s="283" t="s">
        <v>511</v>
      </c>
      <c r="X35" s="283" t="s">
        <v>510</v>
      </c>
      <c r="Y35" s="283" t="s">
        <v>509</v>
      </c>
      <c r="Z35" s="283" t="s">
        <v>507</v>
      </c>
      <c r="AA35" s="284" t="s">
        <v>504</v>
      </c>
      <c r="AB35" s="283" t="s">
        <v>504</v>
      </c>
      <c r="AC35" s="283" t="s">
        <v>496</v>
      </c>
      <c r="AD35" s="283" t="s">
        <v>493</v>
      </c>
      <c r="AE35" s="283" t="s">
        <v>492</v>
      </c>
      <c r="AF35" s="283" t="s">
        <v>490</v>
      </c>
      <c r="AG35" s="283" t="s">
        <v>486</v>
      </c>
      <c r="AH35" s="283" t="s">
        <v>484</v>
      </c>
      <c r="AI35" s="283" t="s">
        <v>483</v>
      </c>
      <c r="AJ35" s="283" t="s">
        <v>478</v>
      </c>
      <c r="AK35" s="283">
        <v>43373</v>
      </c>
      <c r="AL35" s="283">
        <v>43281</v>
      </c>
      <c r="AM35" s="283">
        <v>43190</v>
      </c>
      <c r="AN35" s="283" t="s">
        <v>310</v>
      </c>
      <c r="AO35" s="283" t="s">
        <v>304</v>
      </c>
    </row>
    <row r="36" spans="1:41">
      <c r="A36" s="264" t="s">
        <v>35</v>
      </c>
      <c r="B36" s="285">
        <v>12537267</v>
      </c>
      <c r="C36" s="266">
        <v>10095677</v>
      </c>
      <c r="D36" s="266">
        <f>+B36-C36</f>
        <v>2441590</v>
      </c>
      <c r="E36" s="267">
        <f t="shared" ref="E36:E56" si="3">IF(C36=0,"n.s.",IF(D36=0,"-",IF(ABS(D36/C36)&gt;=1000,"--",ROUND(D36/C36,4))))</f>
        <v>0.24179999999999999</v>
      </c>
      <c r="G36" s="266">
        <v>10095677</v>
      </c>
      <c r="H36" s="266">
        <v>8980274</v>
      </c>
      <c r="I36" s="266">
        <v>3921622</v>
      </c>
      <c r="J36" s="266">
        <v>4571591</v>
      </c>
      <c r="K36" s="266">
        <v>5047675</v>
      </c>
      <c r="L36" s="266">
        <v>5001753</v>
      </c>
      <c r="M36" s="266">
        <v>5334790</v>
      </c>
      <c r="N36" s="266">
        <v>5642919</v>
      </c>
      <c r="O36" s="266">
        <v>7754450</v>
      </c>
      <c r="P36" s="266">
        <v>9040536</v>
      </c>
      <c r="Q36" s="266">
        <v>12507921</v>
      </c>
      <c r="R36" s="266">
        <v>22329839</v>
      </c>
      <c r="S36" s="266">
        <v>22000489</v>
      </c>
      <c r="T36" s="266">
        <v>29173060</v>
      </c>
      <c r="U36" s="266">
        <v>28756017</v>
      </c>
      <c r="V36" s="266">
        <v>23871648</v>
      </c>
      <c r="W36" s="266">
        <v>23633494</v>
      </c>
      <c r="X36" s="266">
        <v>23273048</v>
      </c>
      <c r="Y36" s="266">
        <v>22710245</v>
      </c>
      <c r="Z36" s="266">
        <v>22258572</v>
      </c>
      <c r="AA36" s="268">
        <v>20180999</v>
      </c>
      <c r="AB36" s="266">
        <v>20180999</v>
      </c>
      <c r="AC36" s="266">
        <v>19188980</v>
      </c>
      <c r="AD36" s="266">
        <v>16600757</v>
      </c>
      <c r="AE36" s="266">
        <v>14092713</v>
      </c>
      <c r="AF36" s="266">
        <v>12213133</v>
      </c>
      <c r="AG36" s="266">
        <v>12353388</v>
      </c>
      <c r="AH36" s="266">
        <v>12504749</v>
      </c>
      <c r="AI36" s="266">
        <v>13033898</v>
      </c>
      <c r="AJ36" s="286">
        <v>13126248</v>
      </c>
      <c r="AK36" s="286">
        <v>12730558</v>
      </c>
      <c r="AL36" s="286">
        <v>12622968</v>
      </c>
      <c r="AM36" s="286">
        <v>12626209</v>
      </c>
      <c r="AN36" s="266">
        <v>12984226</v>
      </c>
      <c r="AO36" s="266">
        <v>12984226</v>
      </c>
    </row>
    <row r="37" spans="1:41">
      <c r="A37" s="264" t="s">
        <v>423</v>
      </c>
      <c r="B37" s="285">
        <v>166531185</v>
      </c>
      <c r="C37" s="287">
        <v>168671139</v>
      </c>
      <c r="D37" s="266">
        <f t="shared" ref="D37:D56" si="4">+B37-C37</f>
        <v>-2139954</v>
      </c>
      <c r="E37" s="267">
        <f t="shared" si="3"/>
        <v>-1.2699999999999999E-2</v>
      </c>
      <c r="G37" s="287">
        <v>168671139</v>
      </c>
      <c r="H37" s="287">
        <v>165750492</v>
      </c>
      <c r="I37" s="287">
        <v>120836908</v>
      </c>
      <c r="J37" s="287">
        <v>117438084</v>
      </c>
      <c r="K37" s="287">
        <v>118117555</v>
      </c>
      <c r="L37" s="287">
        <v>116626903</v>
      </c>
      <c r="M37" s="287">
        <v>117564754</v>
      </c>
      <c r="N37" s="287">
        <v>118095533</v>
      </c>
      <c r="O37" s="287">
        <v>118766662</v>
      </c>
      <c r="P37" s="287">
        <v>120127436</v>
      </c>
      <c r="Q37" s="287">
        <v>113672809</v>
      </c>
      <c r="R37" s="287">
        <v>113481077</v>
      </c>
      <c r="S37" s="287">
        <v>114831032</v>
      </c>
      <c r="T37" s="287">
        <v>116678840</v>
      </c>
      <c r="U37" s="287">
        <v>114489033</v>
      </c>
      <c r="V37" s="287">
        <v>99371511</v>
      </c>
      <c r="W37" s="287">
        <v>101388140</v>
      </c>
      <c r="X37" s="287">
        <v>97917991.64271</v>
      </c>
      <c r="Y37" s="287">
        <v>98497569</v>
      </c>
      <c r="Z37" s="287">
        <v>94441876</v>
      </c>
      <c r="AA37" s="288">
        <v>63140669</v>
      </c>
      <c r="AB37" s="287">
        <v>63140669</v>
      </c>
      <c r="AC37" s="287">
        <v>59780401</v>
      </c>
      <c r="AD37" s="287">
        <v>59814831</v>
      </c>
      <c r="AE37" s="287">
        <v>57136313</v>
      </c>
      <c r="AF37" s="287">
        <v>58055608</v>
      </c>
      <c r="AG37" s="287">
        <v>58166847</v>
      </c>
      <c r="AH37" s="287">
        <v>51029054</v>
      </c>
      <c r="AI37" s="287">
        <v>50621245</v>
      </c>
      <c r="AJ37" s="286">
        <v>49996419</v>
      </c>
      <c r="AK37" s="286">
        <v>51184053</v>
      </c>
      <c r="AL37" s="286">
        <v>49879284</v>
      </c>
      <c r="AM37" s="286">
        <v>48919211</v>
      </c>
      <c r="AN37" s="289">
        <v>50246932</v>
      </c>
      <c r="AO37" s="289">
        <v>50246417</v>
      </c>
    </row>
    <row r="38" spans="1:41">
      <c r="A38" s="269" t="s">
        <v>538</v>
      </c>
      <c r="B38" s="285">
        <v>147315414</v>
      </c>
      <c r="C38" s="287">
        <v>150762018</v>
      </c>
      <c r="D38" s="266">
        <f t="shared" si="4"/>
        <v>-3446604</v>
      </c>
      <c r="E38" s="267">
        <f t="shared" si="3"/>
        <v>-2.29E-2</v>
      </c>
      <c r="G38" s="287">
        <v>150762018</v>
      </c>
      <c r="H38" s="287">
        <v>147389176</v>
      </c>
      <c r="I38" s="287">
        <v>107425700</v>
      </c>
      <c r="J38" s="287">
        <v>103807867</v>
      </c>
      <c r="K38" s="287">
        <v>104250319</v>
      </c>
      <c r="L38" s="287">
        <v>102711043</v>
      </c>
      <c r="M38" s="287">
        <v>104378673</v>
      </c>
      <c r="N38" s="287">
        <v>103766272</v>
      </c>
      <c r="O38" s="287">
        <v>104854552</v>
      </c>
      <c r="P38" s="287">
        <v>107693964</v>
      </c>
      <c r="Q38" s="287">
        <v>103410428</v>
      </c>
      <c r="R38" s="287">
        <v>104959275</v>
      </c>
      <c r="S38" s="287">
        <v>107414943</v>
      </c>
      <c r="T38" s="287">
        <v>109628998</v>
      </c>
      <c r="U38" s="287">
        <v>107628871</v>
      </c>
      <c r="V38" s="287">
        <v>94468707</v>
      </c>
      <c r="W38" s="287">
        <v>96627735</v>
      </c>
      <c r="X38" s="287">
        <v>93238224.64271</v>
      </c>
      <c r="Y38" s="287">
        <v>93768069</v>
      </c>
      <c r="Z38" s="287">
        <v>89372036</v>
      </c>
      <c r="AA38" s="288">
        <v>58458479</v>
      </c>
      <c r="AB38" s="287">
        <v>58458479</v>
      </c>
      <c r="AC38" s="287">
        <v>55145698</v>
      </c>
      <c r="AD38" s="287">
        <v>54457590</v>
      </c>
      <c r="AE38" s="287">
        <v>51700785</v>
      </c>
      <c r="AF38" s="287">
        <v>52220719</v>
      </c>
      <c r="AG38" s="287">
        <v>51769432</v>
      </c>
      <c r="AH38" s="287">
        <v>45465848</v>
      </c>
      <c r="AI38" s="287">
        <v>44796953</v>
      </c>
      <c r="AJ38" s="290">
        <v>44594863</v>
      </c>
      <c r="AK38" s="290">
        <v>44387688</v>
      </c>
      <c r="AL38" s="290">
        <v>43291051</v>
      </c>
      <c r="AM38" s="290">
        <v>41900213</v>
      </c>
      <c r="AN38" s="287">
        <v>42694078</v>
      </c>
      <c r="AO38" s="287">
        <v>42694078</v>
      </c>
    </row>
    <row r="39" spans="1:41">
      <c r="A39" s="269" t="s">
        <v>424</v>
      </c>
      <c r="B39" s="285">
        <v>15615750</v>
      </c>
      <c r="C39" s="287">
        <v>14441252</v>
      </c>
      <c r="D39" s="266">
        <f t="shared" si="4"/>
        <v>1174498</v>
      </c>
      <c r="E39" s="267">
        <f t="shared" si="3"/>
        <v>8.1299999999999997E-2</v>
      </c>
      <c r="G39" s="287">
        <v>14441252</v>
      </c>
      <c r="H39" s="287">
        <v>15021263</v>
      </c>
      <c r="I39" s="287">
        <v>10210804</v>
      </c>
      <c r="J39" s="287">
        <v>10629476</v>
      </c>
      <c r="K39" s="287">
        <v>11155186</v>
      </c>
      <c r="L39" s="287">
        <v>11448926</v>
      </c>
      <c r="M39" s="287">
        <v>10775256</v>
      </c>
      <c r="N39" s="287">
        <v>12102073</v>
      </c>
      <c r="O39" s="287">
        <v>11902469</v>
      </c>
      <c r="P39" s="287">
        <v>10666782</v>
      </c>
      <c r="Q39" s="287">
        <v>8837060</v>
      </c>
      <c r="R39" s="287">
        <v>7244714</v>
      </c>
      <c r="S39" s="287">
        <v>6536891</v>
      </c>
      <c r="T39" s="287">
        <v>6449592</v>
      </c>
      <c r="U39" s="287">
        <v>6365262</v>
      </c>
      <c r="V39" s="287">
        <v>4552899</v>
      </c>
      <c r="W39" s="287">
        <v>4760405</v>
      </c>
      <c r="X39" s="287">
        <v>4679767</v>
      </c>
      <c r="Y39" s="287">
        <v>4729500</v>
      </c>
      <c r="Z39" s="287">
        <v>5069840</v>
      </c>
      <c r="AA39" s="288">
        <v>4682190</v>
      </c>
      <c r="AB39" s="287">
        <v>4682190</v>
      </c>
      <c r="AC39" s="287">
        <v>4634703</v>
      </c>
      <c r="AD39" s="287">
        <v>5357241</v>
      </c>
      <c r="AE39" s="287">
        <v>5435528</v>
      </c>
      <c r="AF39" s="287">
        <v>5834889</v>
      </c>
      <c r="AG39" s="287">
        <v>6397415</v>
      </c>
      <c r="AH39" s="287">
        <v>5563206</v>
      </c>
      <c r="AI39" s="287">
        <v>5824292</v>
      </c>
      <c r="AJ39" s="290">
        <v>5401556</v>
      </c>
      <c r="AK39" s="290">
        <v>6796365</v>
      </c>
      <c r="AL39" s="290">
        <v>6588233</v>
      </c>
      <c r="AM39" s="290">
        <v>7018998</v>
      </c>
      <c r="AN39" s="287">
        <v>7552854</v>
      </c>
      <c r="AO39" s="287">
        <v>7552339</v>
      </c>
    </row>
    <row r="40" spans="1:41">
      <c r="A40" s="269" t="s">
        <v>514</v>
      </c>
      <c r="B40" s="285">
        <v>3600021</v>
      </c>
      <c r="C40" s="287">
        <v>3467869</v>
      </c>
      <c r="D40" s="266">
        <f t="shared" si="4"/>
        <v>132152</v>
      </c>
      <c r="E40" s="267">
        <f t="shared" si="3"/>
        <v>3.8100000000000002E-2</v>
      </c>
      <c r="G40" s="287">
        <v>3467869</v>
      </c>
      <c r="H40" s="287">
        <v>3340053</v>
      </c>
      <c r="I40" s="287">
        <v>3200404</v>
      </c>
      <c r="J40" s="287">
        <v>3000741</v>
      </c>
      <c r="K40" s="287">
        <v>2712050</v>
      </c>
      <c r="L40" s="287">
        <v>2466934</v>
      </c>
      <c r="M40" s="287">
        <v>2410825</v>
      </c>
      <c r="N40" s="287">
        <v>2227188</v>
      </c>
      <c r="O40" s="287">
        <v>2009641</v>
      </c>
      <c r="P40" s="287">
        <v>1766690</v>
      </c>
      <c r="Q40" s="287">
        <v>1425321</v>
      </c>
      <c r="R40" s="287">
        <v>1277088</v>
      </c>
      <c r="S40" s="287">
        <v>879198</v>
      </c>
      <c r="T40" s="287">
        <v>600250</v>
      </c>
      <c r="U40" s="287">
        <v>494900</v>
      </c>
      <c r="V40" s="287">
        <v>349905</v>
      </c>
      <c r="W40" s="287"/>
      <c r="X40" s="287"/>
      <c r="Y40" s="287"/>
      <c r="Z40" s="287"/>
      <c r="AA40" s="288"/>
      <c r="AB40" s="287"/>
      <c r="AC40" s="287"/>
      <c r="AD40" s="287"/>
      <c r="AE40" s="287"/>
      <c r="AF40" s="287"/>
      <c r="AG40" s="287"/>
      <c r="AH40" s="287"/>
      <c r="AI40" s="287"/>
      <c r="AJ40" s="290"/>
      <c r="AK40" s="290"/>
      <c r="AL40" s="290"/>
      <c r="AM40" s="290"/>
      <c r="AN40" s="287"/>
      <c r="AO40" s="287"/>
    </row>
    <row r="41" spans="1:41">
      <c r="A41" s="264" t="s">
        <v>38</v>
      </c>
      <c r="B41" s="285">
        <v>436893</v>
      </c>
      <c r="C41" s="287">
        <v>316687</v>
      </c>
      <c r="D41" s="266">
        <f t="shared" si="4"/>
        <v>120206</v>
      </c>
      <c r="E41" s="267">
        <f t="shared" si="3"/>
        <v>0.37959999999999999</v>
      </c>
      <c r="G41" s="287">
        <v>316687</v>
      </c>
      <c r="H41" s="287">
        <v>236666</v>
      </c>
      <c r="I41" s="287">
        <v>216620</v>
      </c>
      <c r="J41" s="287">
        <v>209329</v>
      </c>
      <c r="K41" s="287">
        <v>224294</v>
      </c>
      <c r="L41" s="287">
        <v>246948</v>
      </c>
      <c r="M41" s="287">
        <v>286473</v>
      </c>
      <c r="N41" s="287">
        <v>296639</v>
      </c>
      <c r="O41" s="287">
        <v>300955</v>
      </c>
      <c r="P41" s="287">
        <v>425494</v>
      </c>
      <c r="Q41" s="287">
        <v>439184</v>
      </c>
      <c r="R41" s="287">
        <v>436310</v>
      </c>
      <c r="S41" s="287">
        <v>471598</v>
      </c>
      <c r="T41" s="287">
        <v>467251</v>
      </c>
      <c r="U41" s="287">
        <v>318158</v>
      </c>
      <c r="V41" s="287">
        <v>175013</v>
      </c>
      <c r="W41" s="287">
        <v>123957</v>
      </c>
      <c r="X41" s="287">
        <v>122314</v>
      </c>
      <c r="Y41" s="287">
        <v>138979</v>
      </c>
      <c r="Z41" s="287">
        <v>147324</v>
      </c>
      <c r="AA41" s="288">
        <v>170094</v>
      </c>
      <c r="AB41" s="287">
        <v>170094</v>
      </c>
      <c r="AC41" s="287">
        <v>167410</v>
      </c>
      <c r="AD41" s="287">
        <v>166835</v>
      </c>
      <c r="AE41" s="287">
        <v>164498</v>
      </c>
      <c r="AF41" s="287">
        <v>165970</v>
      </c>
      <c r="AG41" s="287">
        <v>247347</v>
      </c>
      <c r="AH41" s="287">
        <v>220086</v>
      </c>
      <c r="AI41" s="287">
        <v>167982</v>
      </c>
      <c r="AJ41" s="290">
        <v>143824</v>
      </c>
      <c r="AK41" s="290">
        <v>150490</v>
      </c>
      <c r="AL41" s="290">
        <v>241013</v>
      </c>
      <c r="AM41" s="290">
        <v>315365</v>
      </c>
      <c r="AN41" s="287">
        <v>170046</v>
      </c>
      <c r="AO41" s="287">
        <v>170046</v>
      </c>
    </row>
    <row r="42" spans="1:41">
      <c r="A42" s="264" t="s">
        <v>535</v>
      </c>
      <c r="B42" s="285">
        <v>48312</v>
      </c>
      <c r="C42" s="287">
        <v>57557</v>
      </c>
      <c r="D42" s="266">
        <f t="shared" si="4"/>
        <v>-9245</v>
      </c>
      <c r="E42" s="267">
        <f t="shared" si="3"/>
        <v>-0.16059999999999999</v>
      </c>
      <c r="G42" s="287">
        <v>57557</v>
      </c>
      <c r="H42" s="287">
        <v>95947</v>
      </c>
      <c r="I42" s="287">
        <v>104785</v>
      </c>
      <c r="J42" s="287">
        <v>98531</v>
      </c>
      <c r="K42" s="287">
        <v>144481</v>
      </c>
      <c r="L42" s="287">
        <v>151697</v>
      </c>
      <c r="M42" s="287">
        <v>93409</v>
      </c>
      <c r="N42" s="287">
        <v>101366</v>
      </c>
      <c r="O42" s="287">
        <v>111374</v>
      </c>
      <c r="P42" s="287">
        <v>81547</v>
      </c>
      <c r="Q42" s="287">
        <v>111743</v>
      </c>
      <c r="R42" s="287">
        <v>132283</v>
      </c>
      <c r="S42" s="287">
        <v>231689</v>
      </c>
      <c r="T42" s="287">
        <v>314059</v>
      </c>
      <c r="U42" s="287">
        <v>300771</v>
      </c>
      <c r="V42" s="287">
        <v>58051</v>
      </c>
      <c r="W42" s="287">
        <v>249178</v>
      </c>
      <c r="X42" s="287">
        <v>293020</v>
      </c>
      <c r="Y42" s="287">
        <v>327519</v>
      </c>
      <c r="Z42" s="287">
        <v>344047</v>
      </c>
      <c r="AA42" s="288">
        <v>469240</v>
      </c>
      <c r="AB42" s="287">
        <v>469240</v>
      </c>
      <c r="AC42" s="287">
        <v>459681</v>
      </c>
      <c r="AD42" s="287">
        <v>444191</v>
      </c>
      <c r="AE42" s="287">
        <v>396146</v>
      </c>
      <c r="AF42" s="287">
        <v>294114</v>
      </c>
      <c r="AG42" s="287">
        <v>419671</v>
      </c>
      <c r="AH42" s="287">
        <v>306649</v>
      </c>
      <c r="AI42" s="287">
        <v>206666</v>
      </c>
      <c r="AJ42" s="290">
        <v>92374</v>
      </c>
      <c r="AK42" s="290">
        <v>27812</v>
      </c>
      <c r="AL42" s="290">
        <v>42918</v>
      </c>
      <c r="AM42" s="290">
        <v>18898</v>
      </c>
      <c r="AN42" s="287">
        <v>23795</v>
      </c>
      <c r="AO42" s="287">
        <v>23795</v>
      </c>
    </row>
    <row r="43" spans="1:41">
      <c r="A43" s="269" t="s">
        <v>512</v>
      </c>
      <c r="B43" s="285">
        <v>92737</v>
      </c>
      <c r="C43" s="287">
        <v>101261</v>
      </c>
      <c r="D43" s="266">
        <f t="shared" si="4"/>
        <v>-8524</v>
      </c>
      <c r="E43" s="267">
        <f t="shared" si="3"/>
        <v>-8.4199999999999997E-2</v>
      </c>
      <c r="G43" s="287">
        <v>101261</v>
      </c>
      <c r="H43" s="287">
        <v>145900</v>
      </c>
      <c r="I43" s="287">
        <v>159706</v>
      </c>
      <c r="J43" s="287">
        <v>168571</v>
      </c>
      <c r="K43" s="287">
        <v>226324</v>
      </c>
      <c r="L43" s="287">
        <v>247941</v>
      </c>
      <c r="M43" s="287">
        <v>237356</v>
      </c>
      <c r="N43" s="287">
        <v>255735</v>
      </c>
      <c r="O43" s="287">
        <v>266558</v>
      </c>
      <c r="P43" s="287">
        <v>311753</v>
      </c>
      <c r="Q43" s="287">
        <v>362859</v>
      </c>
      <c r="R43" s="287">
        <v>387334</v>
      </c>
      <c r="S43" s="287">
        <v>512981</v>
      </c>
      <c r="T43" s="287">
        <v>588668</v>
      </c>
      <c r="U43" s="287">
        <v>472637</v>
      </c>
      <c r="V43" s="287">
        <v>149861</v>
      </c>
      <c r="W43" s="287">
        <v>249178</v>
      </c>
      <c r="X43" s="287">
        <v>293020</v>
      </c>
      <c r="Y43" s="287">
        <v>327519</v>
      </c>
      <c r="Z43" s="287">
        <v>344047</v>
      </c>
      <c r="AA43" s="288">
        <v>469240</v>
      </c>
      <c r="AB43" s="287">
        <v>469240</v>
      </c>
      <c r="AC43" s="287">
        <v>459681</v>
      </c>
      <c r="AD43" s="287">
        <v>444191</v>
      </c>
      <c r="AE43" s="287">
        <v>396146</v>
      </c>
      <c r="AF43" s="287">
        <v>294114</v>
      </c>
      <c r="AG43" s="287">
        <v>419671</v>
      </c>
      <c r="AH43" s="287">
        <v>306649</v>
      </c>
      <c r="AI43" s="287">
        <v>206666</v>
      </c>
      <c r="AJ43" s="290">
        <v>92374</v>
      </c>
      <c r="AK43" s="290">
        <v>27812</v>
      </c>
      <c r="AL43" s="290">
        <v>42918</v>
      </c>
      <c r="AM43" s="290">
        <v>18898</v>
      </c>
      <c r="AN43" s="287">
        <v>23795</v>
      </c>
      <c r="AO43" s="287">
        <v>23795</v>
      </c>
    </row>
    <row r="44" spans="1:41">
      <c r="A44" s="269" t="s">
        <v>513</v>
      </c>
      <c r="B44" s="285">
        <v>-44425</v>
      </c>
      <c r="C44" s="287">
        <v>-43704</v>
      </c>
      <c r="D44" s="266">
        <f t="shared" si="4"/>
        <v>-721</v>
      </c>
      <c r="E44" s="267">
        <f t="shared" si="3"/>
        <v>1.6500000000000001E-2</v>
      </c>
      <c r="G44" s="287">
        <v>-43704</v>
      </c>
      <c r="H44" s="287">
        <v>-49953</v>
      </c>
      <c r="I44" s="287">
        <v>-54921</v>
      </c>
      <c r="J44" s="287">
        <v>-70040</v>
      </c>
      <c r="K44" s="287">
        <v>-81843</v>
      </c>
      <c r="L44" s="287">
        <v>-96244</v>
      </c>
      <c r="M44" s="287">
        <v>-143947</v>
      </c>
      <c r="N44" s="287">
        <v>-154369</v>
      </c>
      <c r="O44" s="287">
        <v>-155184</v>
      </c>
      <c r="P44" s="287">
        <v>-230206</v>
      </c>
      <c r="Q44" s="287">
        <v>-251116</v>
      </c>
      <c r="R44" s="287">
        <v>-255051</v>
      </c>
      <c r="S44" s="287">
        <v>-281292</v>
      </c>
      <c r="T44" s="287">
        <v>-274609</v>
      </c>
      <c r="U44" s="287">
        <v>-171866</v>
      </c>
      <c r="V44" s="287">
        <v>-91810</v>
      </c>
      <c r="W44" s="287">
        <v>0</v>
      </c>
      <c r="X44" s="287">
        <v>0</v>
      </c>
      <c r="Y44" s="287">
        <v>0</v>
      </c>
      <c r="Z44" s="287">
        <v>0</v>
      </c>
      <c r="AA44" s="288">
        <v>0</v>
      </c>
      <c r="AB44" s="287">
        <v>0</v>
      </c>
      <c r="AC44" s="287">
        <v>0</v>
      </c>
      <c r="AD44" s="287">
        <v>0</v>
      </c>
      <c r="AE44" s="287">
        <v>0</v>
      </c>
      <c r="AF44" s="287">
        <v>0</v>
      </c>
      <c r="AG44" s="287">
        <v>0</v>
      </c>
      <c r="AH44" s="287">
        <v>0</v>
      </c>
      <c r="AI44" s="287">
        <v>0</v>
      </c>
      <c r="AJ44" s="290">
        <v>0</v>
      </c>
      <c r="AK44" s="290">
        <v>0</v>
      </c>
      <c r="AL44" s="290">
        <v>0</v>
      </c>
      <c r="AM44" s="290">
        <v>0</v>
      </c>
      <c r="AN44" s="287">
        <v>0</v>
      </c>
      <c r="AO44" s="287">
        <v>0</v>
      </c>
    </row>
    <row r="45" spans="1:41">
      <c r="A45" s="264" t="s">
        <v>425</v>
      </c>
      <c r="B45" s="285">
        <v>9227396</v>
      </c>
      <c r="C45" s="287">
        <v>7913401</v>
      </c>
      <c r="D45" s="266">
        <f t="shared" si="4"/>
        <v>1313995</v>
      </c>
      <c r="E45" s="267">
        <f t="shared" si="3"/>
        <v>0.16600000000000001</v>
      </c>
      <c r="G45" s="287">
        <v>7913401</v>
      </c>
      <c r="H45" s="287">
        <v>12636963</v>
      </c>
      <c r="I45" s="287">
        <v>7814334</v>
      </c>
      <c r="J45" s="287">
        <v>7643984</v>
      </c>
      <c r="K45" s="287">
        <v>5493147</v>
      </c>
      <c r="L45" s="287">
        <v>7106818</v>
      </c>
      <c r="M45" s="287">
        <v>5750023</v>
      </c>
      <c r="N45" s="287">
        <v>5410802</v>
      </c>
      <c r="O45" s="287">
        <v>5629441</v>
      </c>
      <c r="P45" s="287">
        <v>4728131</v>
      </c>
      <c r="Q45" s="287">
        <v>7687979</v>
      </c>
      <c r="R45" s="287">
        <v>6312589</v>
      </c>
      <c r="S45" s="287">
        <v>6647457</v>
      </c>
      <c r="T45" s="287">
        <v>8289556</v>
      </c>
      <c r="U45" s="287">
        <v>9778444</v>
      </c>
      <c r="V45" s="287">
        <v>5438196</v>
      </c>
      <c r="W45" s="287">
        <v>4094295</v>
      </c>
      <c r="X45" s="287">
        <v>5620737.2982299998</v>
      </c>
      <c r="Y45" s="287">
        <v>6252607</v>
      </c>
      <c r="Z45" s="287">
        <v>4977929</v>
      </c>
      <c r="AA45" s="288">
        <v>2766652</v>
      </c>
      <c r="AB45" s="287">
        <v>2759082</v>
      </c>
      <c r="AC45" s="287">
        <v>3568127</v>
      </c>
      <c r="AD45" s="287">
        <v>3553948</v>
      </c>
      <c r="AE45" s="287">
        <v>3125839</v>
      </c>
      <c r="AF45" s="287">
        <v>3013126</v>
      </c>
      <c r="AG45" s="287">
        <v>4075781</v>
      </c>
      <c r="AH45" s="287">
        <v>2572406</v>
      </c>
      <c r="AI45" s="287">
        <v>2106145</v>
      </c>
      <c r="AJ45" s="290">
        <v>2379334</v>
      </c>
      <c r="AK45" s="290">
        <v>2272860</v>
      </c>
      <c r="AL45" s="290">
        <v>2772599</v>
      </c>
      <c r="AM45" s="290">
        <v>2223795</v>
      </c>
      <c r="AN45" s="287">
        <v>2262970</v>
      </c>
      <c r="AO45" s="287">
        <v>2197592</v>
      </c>
    </row>
    <row r="46" spans="1:41">
      <c r="A46" s="264" t="s">
        <v>59</v>
      </c>
      <c r="B46" s="285">
        <v>1069058</v>
      </c>
      <c r="C46" s="287">
        <v>1030454</v>
      </c>
      <c r="D46" s="266">
        <f t="shared" si="4"/>
        <v>38604</v>
      </c>
      <c r="E46" s="267">
        <f t="shared" si="3"/>
        <v>3.7499999999999999E-2</v>
      </c>
      <c r="G46" s="287">
        <v>1030454</v>
      </c>
      <c r="H46" s="287">
        <v>1161247</v>
      </c>
      <c r="I46" s="287">
        <v>199852</v>
      </c>
      <c r="J46" s="287">
        <v>219328</v>
      </c>
      <c r="K46" s="287">
        <v>210413</v>
      </c>
      <c r="L46" s="287">
        <v>203706</v>
      </c>
      <c r="M46" s="287">
        <v>191819</v>
      </c>
      <c r="N46" s="287">
        <v>208273</v>
      </c>
      <c r="O46" s="287">
        <v>199328</v>
      </c>
      <c r="P46" s="287">
        <v>189751</v>
      </c>
      <c r="Q46" s="287">
        <v>182941</v>
      </c>
      <c r="R46" s="287">
        <v>188074</v>
      </c>
      <c r="S46" s="287">
        <v>180356</v>
      </c>
      <c r="T46" s="287">
        <v>174567</v>
      </c>
      <c r="U46" s="287">
        <v>178919</v>
      </c>
      <c r="V46" s="287">
        <v>168816</v>
      </c>
      <c r="W46" s="287">
        <v>162497</v>
      </c>
      <c r="X46" s="287">
        <v>154084</v>
      </c>
      <c r="Y46" s="287">
        <v>146354</v>
      </c>
      <c r="Z46" s="287">
        <v>140657</v>
      </c>
      <c r="AA46" s="288">
        <v>133983</v>
      </c>
      <c r="AB46" s="287">
        <v>133935</v>
      </c>
      <c r="AC46" s="287">
        <v>137257</v>
      </c>
      <c r="AD46" s="287">
        <v>139442</v>
      </c>
      <c r="AE46" s="287">
        <v>135791</v>
      </c>
      <c r="AF46" s="287">
        <v>131662</v>
      </c>
      <c r="AG46" s="287">
        <v>176160</v>
      </c>
      <c r="AH46" s="287">
        <v>505929</v>
      </c>
      <c r="AI46" s="287">
        <v>510166</v>
      </c>
      <c r="AJ46" s="290">
        <v>507457</v>
      </c>
      <c r="AK46" s="290">
        <v>474455</v>
      </c>
      <c r="AL46" s="290">
        <v>474358</v>
      </c>
      <c r="AM46" s="290">
        <v>493872</v>
      </c>
      <c r="AN46" s="287">
        <v>451825</v>
      </c>
      <c r="AO46" s="287">
        <v>653010</v>
      </c>
    </row>
    <row r="47" spans="1:41">
      <c r="A47" s="264" t="s">
        <v>426</v>
      </c>
      <c r="B47" s="285">
        <v>17028567</v>
      </c>
      <c r="C47" s="287">
        <v>16565045</v>
      </c>
      <c r="D47" s="266">
        <f t="shared" si="4"/>
        <v>463522</v>
      </c>
      <c r="E47" s="267">
        <f t="shared" si="3"/>
        <v>2.8000000000000001E-2</v>
      </c>
      <c r="G47" s="287">
        <v>16565045</v>
      </c>
      <c r="H47" s="287">
        <v>15978130</v>
      </c>
      <c r="I47" s="287">
        <v>11434049</v>
      </c>
      <c r="J47" s="287">
        <v>11775655</v>
      </c>
      <c r="K47" s="287">
        <v>11353867</v>
      </c>
      <c r="L47" s="287">
        <v>10597675</v>
      </c>
      <c r="M47" s="287">
        <v>10176085</v>
      </c>
      <c r="N47" s="287">
        <v>10313547</v>
      </c>
      <c r="O47" s="287">
        <v>9366149</v>
      </c>
      <c r="P47" s="287">
        <v>8863925</v>
      </c>
      <c r="Q47" s="287">
        <v>8489601</v>
      </c>
      <c r="R47" s="287">
        <v>8259030</v>
      </c>
      <c r="S47" s="287">
        <v>7940173</v>
      </c>
      <c r="T47" s="287">
        <v>7856929</v>
      </c>
      <c r="U47" s="287">
        <v>7857727</v>
      </c>
      <c r="V47" s="287">
        <v>6738677</v>
      </c>
      <c r="W47" s="287">
        <v>6696312</v>
      </c>
      <c r="X47" s="287">
        <v>6793117</v>
      </c>
      <c r="Y47" s="287">
        <v>6728350</v>
      </c>
      <c r="Z47" s="287">
        <v>6688494</v>
      </c>
      <c r="AA47" s="288">
        <v>6200146</v>
      </c>
      <c r="AB47" s="287">
        <v>6196819</v>
      </c>
      <c r="AC47" s="287">
        <v>5316133</v>
      </c>
      <c r="AD47" s="287">
        <v>5215543</v>
      </c>
      <c r="AE47" s="287">
        <v>5048016</v>
      </c>
      <c r="AF47" s="287">
        <v>5159885</v>
      </c>
      <c r="AG47" s="287">
        <v>5256232</v>
      </c>
      <c r="AH47" s="287">
        <v>4443795</v>
      </c>
      <c r="AI47" s="287">
        <v>4451307</v>
      </c>
      <c r="AJ47" s="290">
        <v>4389111</v>
      </c>
      <c r="AK47" s="290">
        <v>4381649</v>
      </c>
      <c r="AL47" s="290">
        <v>4263595</v>
      </c>
      <c r="AM47" s="290">
        <v>4340844</v>
      </c>
      <c r="AN47" s="287">
        <v>4181045</v>
      </c>
      <c r="AO47" s="287">
        <v>5063721</v>
      </c>
    </row>
    <row r="48" spans="1:41">
      <c r="A48" s="269" t="s">
        <v>427</v>
      </c>
      <c r="B48" s="285">
        <v>252528</v>
      </c>
      <c r="C48" s="287">
        <v>289707</v>
      </c>
      <c r="D48" s="266">
        <f t="shared" si="4"/>
        <v>-37179</v>
      </c>
      <c r="E48" s="267">
        <f t="shared" si="3"/>
        <v>-0.1283</v>
      </c>
      <c r="G48" s="287">
        <v>289707</v>
      </c>
      <c r="H48" s="287">
        <v>264954</v>
      </c>
      <c r="I48" s="287">
        <v>279717</v>
      </c>
      <c r="J48" s="287">
        <v>230944</v>
      </c>
      <c r="K48" s="287">
        <v>216411</v>
      </c>
      <c r="L48" s="287">
        <v>207559</v>
      </c>
      <c r="M48" s="287">
        <v>170588</v>
      </c>
      <c r="N48" s="287">
        <v>155293</v>
      </c>
      <c r="O48" s="287">
        <v>151396</v>
      </c>
      <c r="P48" s="287">
        <v>86319</v>
      </c>
      <c r="Q48" s="287">
        <v>79151</v>
      </c>
      <c r="R48" s="287">
        <v>86088</v>
      </c>
      <c r="S48" s="287">
        <v>60681</v>
      </c>
      <c r="T48" s="287">
        <v>-37346</v>
      </c>
      <c r="U48" s="287">
        <v>33148</v>
      </c>
      <c r="V48" s="287">
        <v>126509</v>
      </c>
      <c r="W48" s="287">
        <v>196370</v>
      </c>
      <c r="X48" s="287">
        <v>233306</v>
      </c>
      <c r="Y48" s="287">
        <v>234009</v>
      </c>
      <c r="Z48" s="287">
        <v>240535</v>
      </c>
      <c r="AA48" s="288">
        <v>118105</v>
      </c>
      <c r="AB48" s="287">
        <v>118105</v>
      </c>
      <c r="AC48" s="287">
        <v>53367</v>
      </c>
      <c r="AD48" s="287">
        <v>-2322</v>
      </c>
      <c r="AE48" s="287">
        <v>-71110</v>
      </c>
      <c r="AF48" s="287">
        <v>37750</v>
      </c>
      <c r="AG48" s="287">
        <v>-39838</v>
      </c>
      <c r="AH48" s="287">
        <v>15130</v>
      </c>
      <c r="AI48" s="287">
        <v>14199</v>
      </c>
      <c r="AJ48" s="290">
        <v>949</v>
      </c>
      <c r="AK48" s="290">
        <v>34557</v>
      </c>
      <c r="AL48" s="290">
        <v>60974</v>
      </c>
      <c r="AM48" s="290">
        <v>140229</v>
      </c>
      <c r="AN48" s="287">
        <v>204422</v>
      </c>
      <c r="AO48" s="287">
        <v>75089</v>
      </c>
    </row>
    <row r="49" spans="1:41">
      <c r="A49" s="269" t="s">
        <v>428</v>
      </c>
      <c r="B49" s="285">
        <v>7158316</v>
      </c>
      <c r="C49" s="287">
        <v>5358543</v>
      </c>
      <c r="D49" s="266">
        <f t="shared" si="4"/>
        <v>1799773</v>
      </c>
      <c r="E49" s="267">
        <f t="shared" si="3"/>
        <v>0.33589999999999998</v>
      </c>
      <c r="G49" s="287">
        <v>5358543</v>
      </c>
      <c r="H49" s="287">
        <v>5651151</v>
      </c>
      <c r="I49" s="287">
        <v>5766556</v>
      </c>
      <c r="J49" s="287">
        <v>6651614</v>
      </c>
      <c r="K49" s="287">
        <v>5285033</v>
      </c>
      <c r="L49" s="287">
        <v>5273811</v>
      </c>
      <c r="M49" s="287">
        <v>5302571</v>
      </c>
      <c r="N49" s="287">
        <v>5726620</v>
      </c>
      <c r="O49" s="287">
        <v>4206666</v>
      </c>
      <c r="P49" s="287">
        <v>4201976</v>
      </c>
      <c r="Q49" s="287">
        <v>4217670</v>
      </c>
      <c r="R49" s="287">
        <v>4396187</v>
      </c>
      <c r="S49" s="287">
        <v>2944603</v>
      </c>
      <c r="T49" s="287">
        <v>2959997</v>
      </c>
      <c r="U49" s="287">
        <v>2971945</v>
      </c>
      <c r="V49" s="287">
        <v>3018131</v>
      </c>
      <c r="W49" s="287">
        <v>2493508</v>
      </c>
      <c r="X49" s="287">
        <v>2492344</v>
      </c>
      <c r="Y49" s="287">
        <v>2508116</v>
      </c>
      <c r="Z49" s="287">
        <v>2563320</v>
      </c>
      <c r="AA49" s="288">
        <v>2360743</v>
      </c>
      <c r="AB49" s="287">
        <v>2348691</v>
      </c>
      <c r="AC49" s="287">
        <v>2351088</v>
      </c>
      <c r="AD49" s="287">
        <v>2405839</v>
      </c>
      <c r="AE49" s="287">
        <v>2405697</v>
      </c>
      <c r="AF49" s="287">
        <v>2035205</v>
      </c>
      <c r="AG49" s="287">
        <v>2088106</v>
      </c>
      <c r="AH49" s="287">
        <v>1961433</v>
      </c>
      <c r="AI49" s="287">
        <v>2022397</v>
      </c>
      <c r="AJ49" s="290">
        <v>1619469</v>
      </c>
      <c r="AK49" s="290">
        <v>1622226</v>
      </c>
      <c r="AL49" s="290">
        <v>1527996</v>
      </c>
      <c r="AM49" s="290">
        <v>1582852</v>
      </c>
      <c r="AN49" s="287">
        <v>1433445</v>
      </c>
      <c r="AO49" s="287">
        <v>2445454</v>
      </c>
    </row>
    <row r="50" spans="1:41">
      <c r="A50" s="269" t="s">
        <v>487</v>
      </c>
      <c r="B50" s="285">
        <v>1793573</v>
      </c>
      <c r="C50" s="287">
        <v>1793575</v>
      </c>
      <c r="D50" s="266">
        <f t="shared" si="4"/>
        <v>-2</v>
      </c>
      <c r="E50" s="267">
        <f t="shared" si="3"/>
        <v>0</v>
      </c>
      <c r="G50" s="287">
        <v>1793575</v>
      </c>
      <c r="H50" s="287">
        <v>1057846</v>
      </c>
      <c r="I50" s="287">
        <v>1115596</v>
      </c>
      <c r="J50" s="287">
        <v>1115596</v>
      </c>
      <c r="K50" s="287">
        <v>1115596</v>
      </c>
      <c r="L50" s="287">
        <v>620999</v>
      </c>
      <c r="M50" s="287">
        <v>645249</v>
      </c>
      <c r="N50" s="287">
        <v>645249</v>
      </c>
      <c r="O50" s="287">
        <v>150000</v>
      </c>
      <c r="P50" s="287">
        <v>150000</v>
      </c>
      <c r="Q50" s="287">
        <v>150000</v>
      </c>
      <c r="R50" s="287">
        <v>150000</v>
      </c>
      <c r="S50" s="287">
        <v>150000</v>
      </c>
      <c r="T50" s="287">
        <v>150000</v>
      </c>
      <c r="U50" s="287">
        <v>150000</v>
      </c>
      <c r="V50" s="287">
        <v>150000</v>
      </c>
      <c r="W50" s="287">
        <v>150000</v>
      </c>
      <c r="X50" s="287">
        <v>150000</v>
      </c>
      <c r="Y50" s="287">
        <v>150000</v>
      </c>
      <c r="Z50" s="287">
        <v>150000</v>
      </c>
      <c r="AA50" s="288">
        <v>150000</v>
      </c>
      <c r="AB50" s="287">
        <v>150000</v>
      </c>
      <c r="AC50" s="287">
        <v>150000</v>
      </c>
      <c r="AD50" s="287">
        <v>150000</v>
      </c>
      <c r="AE50" s="287">
        <v>150000</v>
      </c>
      <c r="AF50" s="287">
        <v>150000</v>
      </c>
      <c r="AG50" s="287">
        <v>150000</v>
      </c>
      <c r="AH50" s="287"/>
      <c r="AI50" s="287"/>
      <c r="AJ50" s="290"/>
      <c r="AK50" s="290"/>
      <c r="AL50" s="290"/>
      <c r="AM50" s="290"/>
      <c r="AN50" s="287"/>
      <c r="AO50" s="287"/>
    </row>
    <row r="51" spans="1:41">
      <c r="A51" s="269" t="s">
        <v>587</v>
      </c>
      <c r="B51" s="285">
        <v>-196162</v>
      </c>
      <c r="C51" s="287">
        <v>-196357</v>
      </c>
      <c r="D51" s="266">
        <f t="shared" si="4"/>
        <v>195</v>
      </c>
      <c r="E51" s="267">
        <f t="shared" si="3"/>
        <v>-1E-3</v>
      </c>
      <c r="G51" s="287">
        <v>-196357</v>
      </c>
      <c r="H51" s="287">
        <v>0</v>
      </c>
      <c r="I51" s="287">
        <v>0</v>
      </c>
      <c r="J51" s="287">
        <v>0</v>
      </c>
      <c r="K51" s="287">
        <v>0</v>
      </c>
      <c r="L51" s="287">
        <v>0</v>
      </c>
      <c r="M51" s="287">
        <v>0</v>
      </c>
      <c r="N51" s="287">
        <v>0</v>
      </c>
      <c r="O51" s="287">
        <v>0</v>
      </c>
      <c r="P51" s="287">
        <v>0</v>
      </c>
      <c r="Q51" s="287">
        <v>0</v>
      </c>
      <c r="R51" s="287">
        <v>0</v>
      </c>
      <c r="S51" s="287">
        <v>0</v>
      </c>
      <c r="T51" s="287"/>
      <c r="U51" s="287"/>
      <c r="V51" s="287"/>
      <c r="W51" s="287"/>
      <c r="X51" s="287"/>
      <c r="Y51" s="287"/>
      <c r="Z51" s="287"/>
      <c r="AA51" s="288"/>
      <c r="AB51" s="287"/>
      <c r="AC51" s="287"/>
      <c r="AD51" s="287"/>
      <c r="AE51" s="287"/>
      <c r="AF51" s="287"/>
      <c r="AG51" s="287"/>
      <c r="AH51" s="287"/>
      <c r="AI51" s="287"/>
      <c r="AJ51" s="290"/>
      <c r="AK51" s="290"/>
      <c r="AL51" s="290"/>
      <c r="AM51" s="290"/>
      <c r="AN51" s="287"/>
      <c r="AO51" s="287"/>
    </row>
    <row r="52" spans="1:41">
      <c r="A52" s="269" t="s">
        <v>588</v>
      </c>
      <c r="B52" s="285">
        <v>4589043</v>
      </c>
      <c r="C52" s="287">
        <v>4589105</v>
      </c>
      <c r="D52" s="266">
        <f t="shared" si="4"/>
        <v>-62</v>
      </c>
      <c r="E52" s="267">
        <f t="shared" si="3"/>
        <v>0</v>
      </c>
      <c r="G52" s="287">
        <v>4589105</v>
      </c>
      <c r="H52" s="287">
        <v>4596434</v>
      </c>
      <c r="I52" s="287">
        <v>1251478</v>
      </c>
      <c r="J52" s="287">
        <v>1244633</v>
      </c>
      <c r="K52" s="287">
        <v>1244576</v>
      </c>
      <c r="L52" s="287">
        <v>1244557</v>
      </c>
      <c r="M52" s="287">
        <v>1237512</v>
      </c>
      <c r="N52" s="287">
        <v>1236519</v>
      </c>
      <c r="O52" s="287">
        <v>1236525</v>
      </c>
      <c r="P52" s="287">
        <v>1236528</v>
      </c>
      <c r="Q52" s="287">
        <v>1236602</v>
      </c>
      <c r="R52" s="287">
        <v>1237200</v>
      </c>
      <c r="S52" s="287">
        <v>1237276</v>
      </c>
      <c r="T52" s="287">
        <v>1237324</v>
      </c>
      <c r="U52" s="287">
        <v>1237460</v>
      </c>
      <c r="V52" s="287">
        <v>1240356</v>
      </c>
      <c r="W52" s="287">
        <v>1240428</v>
      </c>
      <c r="X52" s="287">
        <v>1240515</v>
      </c>
      <c r="Y52" s="287">
        <v>1240871</v>
      </c>
      <c r="Z52" s="287">
        <v>1241197</v>
      </c>
      <c r="AA52" s="288">
        <v>1241197</v>
      </c>
      <c r="AB52" s="287">
        <v>1241197</v>
      </c>
      <c r="AC52" s="287">
        <v>1002722</v>
      </c>
      <c r="AD52" s="287">
        <v>1002722</v>
      </c>
      <c r="AE52" s="287">
        <v>1002722</v>
      </c>
      <c r="AF52" s="287">
        <v>1002722</v>
      </c>
      <c r="AG52" s="287">
        <v>999373</v>
      </c>
      <c r="AH52" s="287">
        <v>930073</v>
      </c>
      <c r="AI52" s="287">
        <v>930073</v>
      </c>
      <c r="AJ52" s="290">
        <v>930073</v>
      </c>
      <c r="AK52" s="290">
        <v>930073</v>
      </c>
      <c r="AL52" s="290">
        <v>930073</v>
      </c>
      <c r="AM52" s="290">
        <v>930073</v>
      </c>
      <c r="AN52" s="287">
        <v>930073</v>
      </c>
      <c r="AO52" s="287">
        <v>930073</v>
      </c>
    </row>
    <row r="53" spans="1:41">
      <c r="A53" s="269" t="s">
        <v>589</v>
      </c>
      <c r="B53" s="285">
        <v>2953572</v>
      </c>
      <c r="C53" s="287">
        <v>2953572</v>
      </c>
      <c r="D53" s="266">
        <f t="shared" si="4"/>
        <v>0</v>
      </c>
      <c r="E53" s="267" t="str">
        <f t="shared" si="3"/>
        <v>-</v>
      </c>
      <c r="G53" s="287">
        <v>2953572</v>
      </c>
      <c r="H53" s="287">
        <v>2953384</v>
      </c>
      <c r="I53" s="287">
        <v>2121637</v>
      </c>
      <c r="J53" s="287">
        <v>2121637</v>
      </c>
      <c r="K53" s="287">
        <v>2121637</v>
      </c>
      <c r="L53" s="287">
        <v>2121637</v>
      </c>
      <c r="M53" s="287">
        <v>2104316</v>
      </c>
      <c r="N53" s="287">
        <v>2104316</v>
      </c>
      <c r="O53" s="287">
        <v>2104316</v>
      </c>
      <c r="P53" s="287">
        <v>2104316</v>
      </c>
      <c r="Q53" s="287">
        <v>2104316</v>
      </c>
      <c r="R53" s="287">
        <v>2104316</v>
      </c>
      <c r="S53" s="287">
        <v>2104316</v>
      </c>
      <c r="T53" s="287">
        <v>2100435</v>
      </c>
      <c r="U53" s="287">
        <v>2100435</v>
      </c>
      <c r="V53" s="287">
        <v>2100435</v>
      </c>
      <c r="W53" s="287">
        <v>2100435</v>
      </c>
      <c r="X53" s="287">
        <v>2100435</v>
      </c>
      <c r="Y53" s="287">
        <v>2100435</v>
      </c>
      <c r="Z53" s="287">
        <v>2100435</v>
      </c>
      <c r="AA53" s="288">
        <v>2100435</v>
      </c>
      <c r="AB53" s="287">
        <v>2100435</v>
      </c>
      <c r="AC53" s="287">
        <v>1565596</v>
      </c>
      <c r="AD53" s="287">
        <v>1561884</v>
      </c>
      <c r="AE53" s="287">
        <v>1561884</v>
      </c>
      <c r="AF53" s="287">
        <v>1561884</v>
      </c>
      <c r="AG53" s="287">
        <v>1542925</v>
      </c>
      <c r="AH53" s="287">
        <v>1443925</v>
      </c>
      <c r="AI53" s="287">
        <v>1443925</v>
      </c>
      <c r="AJ53" s="290">
        <v>1443925</v>
      </c>
      <c r="AK53" s="290">
        <v>1443925</v>
      </c>
      <c r="AL53" s="290">
        <v>1443925</v>
      </c>
      <c r="AM53" s="290">
        <v>1443925</v>
      </c>
      <c r="AN53" s="287">
        <v>1443925</v>
      </c>
      <c r="AO53" s="287">
        <v>1443925</v>
      </c>
    </row>
    <row r="54" spans="1:41">
      <c r="A54" s="269" t="s">
        <v>590</v>
      </c>
      <c r="B54" s="285">
        <v>-40848</v>
      </c>
      <c r="C54" s="287">
        <v>-41547</v>
      </c>
      <c r="D54" s="266">
        <f t="shared" si="4"/>
        <v>699</v>
      </c>
      <c r="E54" s="267">
        <f t="shared" si="3"/>
        <v>-1.6799999999999999E-2</v>
      </c>
      <c r="G54" s="287">
        <v>-41547</v>
      </c>
      <c r="H54" s="287">
        <v>-24200</v>
      </c>
      <c r="I54" s="287">
        <v>-4404</v>
      </c>
      <c r="J54" s="287">
        <v>-31695</v>
      </c>
      <c r="K54" s="287">
        <v>-32035</v>
      </c>
      <c r="L54" s="287">
        <v>-7923</v>
      </c>
      <c r="M54" s="287">
        <v>-8323</v>
      </c>
      <c r="N54" s="287">
        <v>-11726</v>
      </c>
      <c r="O54" s="287">
        <v>-2250</v>
      </c>
      <c r="P54" s="287">
        <v>-2284</v>
      </c>
      <c r="Q54" s="287">
        <v>-2689</v>
      </c>
      <c r="R54" s="287">
        <v>-5436</v>
      </c>
      <c r="S54" s="287">
        <v>-5678</v>
      </c>
      <c r="T54" s="287">
        <v>-19857</v>
      </c>
      <c r="U54" s="287">
        <v>-20069</v>
      </c>
      <c r="V54" s="287">
        <v>-9426</v>
      </c>
      <c r="W54" s="287">
        <v>-9552</v>
      </c>
      <c r="X54" s="287">
        <v>-9706</v>
      </c>
      <c r="Y54" s="287">
        <v>-6889</v>
      </c>
      <c r="Z54" s="287">
        <v>-7259</v>
      </c>
      <c r="AA54" s="288">
        <v>-7259</v>
      </c>
      <c r="AB54" s="287">
        <v>-7259</v>
      </c>
      <c r="AC54" s="287">
        <v>-7259</v>
      </c>
      <c r="AD54" s="287">
        <v>-7259</v>
      </c>
      <c r="AE54" s="287">
        <v>-7259</v>
      </c>
      <c r="AF54" s="287">
        <v>-7259</v>
      </c>
      <c r="AG54" s="287">
        <v>-7259</v>
      </c>
      <c r="AH54" s="287">
        <v>-7258</v>
      </c>
      <c r="AI54" s="287">
        <v>-7258</v>
      </c>
      <c r="AJ54" s="290">
        <v>-7258</v>
      </c>
      <c r="AK54" s="290">
        <v>-7258</v>
      </c>
      <c r="AL54" s="290">
        <v>-7258</v>
      </c>
      <c r="AM54" s="290">
        <v>-7258</v>
      </c>
      <c r="AN54" s="287">
        <v>-7258</v>
      </c>
      <c r="AO54" s="287">
        <v>-7258</v>
      </c>
    </row>
    <row r="55" spans="1:41">
      <c r="A55" s="269" t="s">
        <v>591</v>
      </c>
      <c r="B55" s="291">
        <v>518545</v>
      </c>
      <c r="C55" s="287">
        <v>1818447</v>
      </c>
      <c r="D55" s="266">
        <f t="shared" si="4"/>
        <v>-1299902</v>
      </c>
      <c r="E55" s="267">
        <f t="shared" si="3"/>
        <v>-0.71479999999999999</v>
      </c>
      <c r="G55" s="287">
        <v>1818447</v>
      </c>
      <c r="H55" s="287">
        <v>1478561</v>
      </c>
      <c r="I55" s="287">
        <v>903469</v>
      </c>
      <c r="J55" s="287">
        <v>442926</v>
      </c>
      <c r="K55" s="287">
        <v>1402649</v>
      </c>
      <c r="L55" s="287">
        <v>1137035</v>
      </c>
      <c r="M55" s="287">
        <v>724172</v>
      </c>
      <c r="N55" s="287">
        <v>457276</v>
      </c>
      <c r="O55" s="287">
        <v>1519496</v>
      </c>
      <c r="P55" s="287">
        <v>1087070</v>
      </c>
      <c r="Q55" s="287">
        <v>704551</v>
      </c>
      <c r="R55" s="287">
        <v>290675</v>
      </c>
      <c r="S55" s="287">
        <v>1448975</v>
      </c>
      <c r="T55" s="287">
        <v>1466376</v>
      </c>
      <c r="U55" s="287">
        <v>1384808</v>
      </c>
      <c r="V55" s="287">
        <v>112672</v>
      </c>
      <c r="W55" s="287">
        <v>525123</v>
      </c>
      <c r="X55" s="287">
        <v>586223</v>
      </c>
      <c r="Y55" s="287">
        <v>501808</v>
      </c>
      <c r="Z55" s="287">
        <v>400266</v>
      </c>
      <c r="AA55" s="288">
        <v>236925</v>
      </c>
      <c r="AB55" s="287">
        <v>245650</v>
      </c>
      <c r="AC55" s="287">
        <v>200619</v>
      </c>
      <c r="AD55" s="287">
        <v>104679</v>
      </c>
      <c r="AE55" s="287">
        <v>6082</v>
      </c>
      <c r="AF55" s="287">
        <v>379583</v>
      </c>
      <c r="AG55" s="287">
        <v>522925</v>
      </c>
      <c r="AH55" s="287">
        <v>100492</v>
      </c>
      <c r="AI55" s="287">
        <v>47971</v>
      </c>
      <c r="AJ55" s="290">
        <v>401953</v>
      </c>
      <c r="AK55" s="290">
        <v>358126</v>
      </c>
      <c r="AL55" s="290">
        <v>307885</v>
      </c>
      <c r="AM55" s="290">
        <v>251023</v>
      </c>
      <c r="AN55" s="287">
        <v>176438</v>
      </c>
      <c r="AO55" s="287">
        <v>176438</v>
      </c>
    </row>
    <row r="56" spans="1:41">
      <c r="A56" s="272" t="s">
        <v>62</v>
      </c>
      <c r="B56" s="292">
        <v>206878678</v>
      </c>
      <c r="C56" s="293">
        <v>204649960</v>
      </c>
      <c r="D56" s="274">
        <f t="shared" si="4"/>
        <v>2228718</v>
      </c>
      <c r="E56" s="275">
        <f t="shared" si="3"/>
        <v>1.09E-2</v>
      </c>
      <c r="G56" s="293">
        <v>204649960</v>
      </c>
      <c r="H56" s="293">
        <v>204839719</v>
      </c>
      <c r="I56" s="293">
        <v>144528170</v>
      </c>
      <c r="J56" s="293">
        <v>141956502</v>
      </c>
      <c r="K56" s="293">
        <v>140591432</v>
      </c>
      <c r="L56" s="293">
        <v>139935500</v>
      </c>
      <c r="M56" s="293">
        <v>139397353</v>
      </c>
      <c r="N56" s="293">
        <v>140069079</v>
      </c>
      <c r="O56" s="293">
        <v>142128359</v>
      </c>
      <c r="P56" s="293">
        <v>143456820</v>
      </c>
      <c r="Q56" s="293">
        <v>143092178</v>
      </c>
      <c r="R56" s="293">
        <v>151139202</v>
      </c>
      <c r="S56" s="293">
        <v>152302794</v>
      </c>
      <c r="T56" s="293">
        <v>162954262</v>
      </c>
      <c r="U56" s="293">
        <v>161679069</v>
      </c>
      <c r="V56" s="293">
        <v>135821912</v>
      </c>
      <c r="W56" s="293">
        <v>136347873</v>
      </c>
      <c r="X56" s="293">
        <v>134174311.94093999</v>
      </c>
      <c r="Y56" s="293">
        <v>134801623</v>
      </c>
      <c r="Z56" s="293">
        <v>128998899</v>
      </c>
      <c r="AA56" s="294">
        <v>93061783</v>
      </c>
      <c r="AB56" s="293">
        <v>93050838</v>
      </c>
      <c r="AC56" s="293">
        <v>88617989</v>
      </c>
      <c r="AD56" s="293">
        <v>85935547</v>
      </c>
      <c r="AE56" s="293">
        <v>80099316</v>
      </c>
      <c r="AF56" s="293">
        <v>79033498</v>
      </c>
      <c r="AG56" s="293">
        <v>80695426</v>
      </c>
      <c r="AH56" s="293">
        <v>71582668</v>
      </c>
      <c r="AI56" s="293">
        <v>71097409</v>
      </c>
      <c r="AJ56" s="295">
        <v>70634767</v>
      </c>
      <c r="AK56" s="295">
        <v>71221877</v>
      </c>
      <c r="AL56" s="295">
        <v>70296735</v>
      </c>
      <c r="AM56" s="295">
        <v>68938194</v>
      </c>
      <c r="AN56" s="293">
        <v>70320839</v>
      </c>
      <c r="AO56" s="293">
        <v>71338807</v>
      </c>
    </row>
    <row r="57" spans="1:41" ht="13.5" thickBot="1">
      <c r="AA57" s="296"/>
    </row>
    <row r="58" spans="1:41" ht="13.5" thickTop="1">
      <c r="A58" s="297"/>
      <c r="B58" s="297"/>
      <c r="C58" s="297"/>
      <c r="D58" s="297"/>
      <c r="E58" s="297"/>
    </row>
    <row r="59" spans="1:41">
      <c r="A59" s="297"/>
      <c r="B59" s="297"/>
      <c r="C59" s="297"/>
      <c r="D59" s="297"/>
      <c r="E59" s="297"/>
    </row>
    <row r="60" spans="1:41">
      <c r="A60" s="297"/>
      <c r="B60" s="297"/>
      <c r="C60" s="297"/>
      <c r="D60" s="297"/>
      <c r="E60" s="297"/>
    </row>
    <row r="61" spans="1:41">
      <c r="A61" s="297"/>
      <c r="B61" s="297"/>
      <c r="C61" s="297"/>
      <c r="D61" s="297"/>
      <c r="E61" s="297"/>
    </row>
  </sheetData>
  <mergeCells count="1">
    <mergeCell ref="A58:E6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8:AY48"/>
  <sheetViews>
    <sheetView zoomScale="90" zoomScaleNormal="90" workbookViewId="0">
      <selection activeCell="C12" sqref="C12:D43"/>
    </sheetView>
  </sheetViews>
  <sheetFormatPr defaultColWidth="52" defaultRowHeight="12.75" outlineLevelCol="1"/>
  <cols>
    <col min="1" max="1" width="15.85546875" style="256" customWidth="1"/>
    <col min="2" max="2" width="57.7109375" style="256" customWidth="1"/>
    <col min="3" max="4" width="12.5703125" style="256" customWidth="1"/>
    <col min="5" max="5" width="13.7109375" style="256" customWidth="1"/>
    <col min="6" max="6" width="14.7109375" style="256" customWidth="1"/>
    <col min="7" max="9" width="12.5703125" style="256" customWidth="1"/>
    <col min="10" max="11" width="11.85546875" style="256" customWidth="1"/>
    <col min="12" max="19" width="12.5703125" style="256" customWidth="1"/>
    <col min="20" max="20" width="18.85546875" style="256" customWidth="1"/>
    <col min="21" max="21" width="15.7109375" style="256" hidden="1" customWidth="1" outlineLevel="1"/>
    <col min="22" max="22" width="78.28515625" style="256" hidden="1" customWidth="1" outlineLevel="1"/>
    <col min="23" max="23" width="9.7109375" style="256" hidden="1" customWidth="1" outlineLevel="1"/>
    <col min="24" max="24" width="9.42578125" style="256" hidden="1" customWidth="1" outlineLevel="1"/>
    <col min="25" max="25" width="9.140625" style="256" hidden="1" customWidth="1" outlineLevel="1"/>
    <col min="26" max="26" width="8.7109375" style="256" hidden="1" customWidth="1" outlineLevel="1"/>
    <col min="27" max="28" width="9.42578125" style="256" hidden="1" customWidth="1" outlineLevel="1"/>
    <col min="29" max="30" width="8.7109375" style="256" hidden="1" customWidth="1" outlineLevel="1"/>
    <col min="31" max="31" width="9.140625" style="256" hidden="1" customWidth="1" outlineLevel="1"/>
    <col min="32" max="32" width="8.85546875" style="256" hidden="1" customWidth="1" outlineLevel="1"/>
    <col min="33" max="34" width="8.7109375" style="256" hidden="1" customWidth="1" outlineLevel="1"/>
    <col min="35" max="36" width="9.42578125" style="256" hidden="1" customWidth="1" outlineLevel="1"/>
    <col min="37" max="38" width="8.7109375" style="256" hidden="1" customWidth="1" outlineLevel="1"/>
    <col min="39" max="39" width="9.42578125" style="256" hidden="1" customWidth="1" outlineLevel="1"/>
    <col min="40" max="40" width="9.140625" style="256" hidden="1" customWidth="1" outlineLevel="1"/>
    <col min="41" max="42" width="8.7109375" style="256" hidden="1" customWidth="1" outlineLevel="1"/>
    <col min="43" max="43" width="9.42578125" style="256" hidden="1" customWidth="1" outlineLevel="1"/>
    <col min="44" max="44" width="9.140625" style="256" hidden="1" customWidth="1" outlineLevel="1"/>
    <col min="45" max="46" width="8.7109375" style="256" hidden="1" customWidth="1" outlineLevel="1"/>
    <col min="47" max="47" width="9.140625" style="256" hidden="1" customWidth="1" outlineLevel="1"/>
    <col min="48" max="50" width="8.7109375" style="256" hidden="1" customWidth="1" outlineLevel="1"/>
    <col min="51" max="51" width="52" style="256" collapsed="1"/>
    <col min="52" max="16384" width="52" style="256"/>
  </cols>
  <sheetData>
    <row r="8" spans="1:50">
      <c r="A8" s="255" t="s">
        <v>460</v>
      </c>
    </row>
    <row r="11" spans="1:50" ht="13.5" thickBot="1"/>
    <row r="12" spans="1:50" ht="26.25" thickBot="1">
      <c r="A12" s="298" t="s">
        <v>187</v>
      </c>
      <c r="B12" s="298"/>
      <c r="C12" s="299" t="s">
        <v>597</v>
      </c>
      <c r="D12" s="300" t="s">
        <v>579</v>
      </c>
      <c r="E12" s="301" t="s">
        <v>548</v>
      </c>
      <c r="F12" s="301" t="s">
        <v>549</v>
      </c>
      <c r="H12" s="302" t="s">
        <v>586</v>
      </c>
      <c r="I12" s="302" t="s">
        <v>584</v>
      </c>
      <c r="J12" s="302" t="s">
        <v>582</v>
      </c>
      <c r="K12" s="302" t="s">
        <v>579</v>
      </c>
      <c r="L12" s="300" t="s">
        <v>577</v>
      </c>
      <c r="M12" s="300" t="s">
        <v>576</v>
      </c>
      <c r="N12" s="300" t="s">
        <v>575</v>
      </c>
      <c r="O12" s="300" t="s">
        <v>547</v>
      </c>
      <c r="P12" s="300" t="s">
        <v>541</v>
      </c>
      <c r="Q12" s="300" t="s">
        <v>534</v>
      </c>
      <c r="R12" s="300" t="s">
        <v>532</v>
      </c>
      <c r="S12" s="300" t="s">
        <v>531</v>
      </c>
      <c r="U12" s="303" t="s">
        <v>187</v>
      </c>
      <c r="V12" s="303">
        <f>$AQ$66</f>
        <v>0</v>
      </c>
      <c r="W12" s="304" t="s">
        <v>529</v>
      </c>
      <c r="X12" s="304" t="s">
        <v>517</v>
      </c>
      <c r="Y12" s="304" t="s">
        <v>516</v>
      </c>
      <c r="Z12" s="304" t="s">
        <v>515</v>
      </c>
      <c r="AA12" s="304" t="s">
        <v>511</v>
      </c>
      <c r="AB12" s="304" t="s">
        <v>510</v>
      </c>
      <c r="AC12" s="304" t="s">
        <v>509</v>
      </c>
      <c r="AD12" s="304" t="s">
        <v>507</v>
      </c>
      <c r="AE12" s="305" t="s">
        <v>504</v>
      </c>
      <c r="AF12" s="304" t="s">
        <v>496</v>
      </c>
      <c r="AG12" s="304" t="s">
        <v>493</v>
      </c>
      <c r="AH12" s="306" t="s">
        <v>492</v>
      </c>
      <c r="AI12" s="304" t="s">
        <v>504</v>
      </c>
      <c r="AJ12" s="304" t="s">
        <v>496</v>
      </c>
      <c r="AK12" s="304" t="s">
        <v>493</v>
      </c>
      <c r="AL12" s="304" t="s">
        <v>492</v>
      </c>
      <c r="AM12" s="304" t="s">
        <v>490</v>
      </c>
      <c r="AN12" s="304" t="s">
        <v>486</v>
      </c>
      <c r="AO12" s="304" t="s">
        <v>484</v>
      </c>
      <c r="AP12" s="304" t="s">
        <v>483</v>
      </c>
      <c r="AQ12" s="307" t="s">
        <v>478</v>
      </c>
      <c r="AR12" s="307" t="s">
        <v>465</v>
      </c>
      <c r="AS12" s="307" t="s">
        <v>308</v>
      </c>
      <c r="AT12" s="304" t="s">
        <v>309</v>
      </c>
      <c r="AU12" s="304" t="s">
        <v>304</v>
      </c>
      <c r="AV12" s="304" t="s">
        <v>289</v>
      </c>
      <c r="AW12" s="304" t="s">
        <v>298</v>
      </c>
      <c r="AX12" s="304" t="s">
        <v>278</v>
      </c>
    </row>
    <row r="13" spans="1:50">
      <c r="A13" s="308" t="s">
        <v>188</v>
      </c>
      <c r="B13" s="309" t="s">
        <v>68</v>
      </c>
      <c r="C13" s="310">
        <v>1087518</v>
      </c>
      <c r="D13" s="311">
        <v>811876</v>
      </c>
      <c r="E13" s="312">
        <f t="shared" ref="E13:E32" si="0">C13-D13</f>
        <v>275642</v>
      </c>
      <c r="F13" s="313">
        <f>IF(D13=0,"n.s.",IF(E13=0,"-",IF(ABS(E13/D13*100)&gt;=1000,"--",ROUND(E13/D13*100,2))))</f>
        <v>33.950000000000003</v>
      </c>
      <c r="H13" s="314">
        <v>3815243</v>
      </c>
      <c r="I13" s="314">
        <v>2704287</v>
      </c>
      <c r="J13" s="314">
        <v>1626018</v>
      </c>
      <c r="K13" s="314">
        <v>811876</v>
      </c>
      <c r="L13" s="311">
        <v>3376876</v>
      </c>
      <c r="M13" s="311">
        <v>2523225</v>
      </c>
      <c r="N13" s="311">
        <v>1682472</v>
      </c>
      <c r="O13" s="311">
        <v>843620</v>
      </c>
      <c r="P13" s="311">
        <v>3251817</v>
      </c>
      <c r="Q13" s="311">
        <v>2381517</v>
      </c>
      <c r="R13" s="311">
        <v>1544969</v>
      </c>
      <c r="S13" s="311">
        <v>725989</v>
      </c>
      <c r="U13" s="315" t="s">
        <v>188</v>
      </c>
      <c r="V13" s="264" t="s">
        <v>68</v>
      </c>
      <c r="W13" s="266">
        <v>1825893</v>
      </c>
      <c r="X13" s="266">
        <v>1260430</v>
      </c>
      <c r="Y13" s="266">
        <v>785449</v>
      </c>
      <c r="Z13" s="266">
        <v>376429</v>
      </c>
      <c r="AA13" s="266">
        <v>1505362</v>
      </c>
      <c r="AB13" s="266">
        <v>1119419</v>
      </c>
      <c r="AC13" s="266">
        <v>728322</v>
      </c>
      <c r="AD13" s="266">
        <v>343513</v>
      </c>
      <c r="AE13" s="316">
        <v>1238876</v>
      </c>
      <c r="AF13" s="266">
        <v>943743</v>
      </c>
      <c r="AG13" s="266">
        <v>618251</v>
      </c>
      <c r="AH13" s="317">
        <v>307971</v>
      </c>
      <c r="AI13" s="266">
        <v>1238876</v>
      </c>
      <c r="AJ13" s="266">
        <v>943743</v>
      </c>
      <c r="AK13" s="266">
        <v>618251</v>
      </c>
      <c r="AL13" s="266">
        <v>307971</v>
      </c>
      <c r="AM13" s="266">
        <v>1164539</v>
      </c>
      <c r="AN13" s="266">
        <v>862093</v>
      </c>
      <c r="AO13" s="266">
        <v>546184</v>
      </c>
      <c r="AP13" s="266">
        <v>273896</v>
      </c>
      <c r="AQ13" s="266">
        <v>1122437</v>
      </c>
      <c r="AR13" s="266">
        <v>850092</v>
      </c>
      <c r="AS13" s="266">
        <v>573502</v>
      </c>
      <c r="AT13" s="266">
        <v>293234</v>
      </c>
      <c r="AU13" s="266">
        <v>1124479</v>
      </c>
      <c r="AV13" s="266">
        <v>850337</v>
      </c>
      <c r="AW13" s="266">
        <v>570119</v>
      </c>
      <c r="AX13" s="266">
        <v>288114</v>
      </c>
    </row>
    <row r="14" spans="1:50">
      <c r="A14" s="318" t="s">
        <v>189</v>
      </c>
      <c r="B14" s="319" t="s">
        <v>71</v>
      </c>
      <c r="C14" s="310">
        <v>680888</v>
      </c>
      <c r="D14" s="320">
        <v>541116</v>
      </c>
      <c r="E14" s="321">
        <f t="shared" si="0"/>
        <v>139772</v>
      </c>
      <c r="F14" s="322">
        <f t="shared" ref="F14:F43" si="1">IF(D14=0,"n.s.",IF(E14=0,"-",IF(ABS(E14/D14*100)&gt;=1000,"--",ROUND(E14/D14*100,2))))</f>
        <v>25.83</v>
      </c>
      <c r="H14" s="323">
        <v>2405387</v>
      </c>
      <c r="I14" s="323">
        <v>1709708</v>
      </c>
      <c r="J14" s="323">
        <v>1063484</v>
      </c>
      <c r="K14" s="323">
        <v>541116</v>
      </c>
      <c r="L14" s="320">
        <v>2058435</v>
      </c>
      <c r="M14" s="320">
        <v>1502680</v>
      </c>
      <c r="N14" s="320">
        <v>1014738</v>
      </c>
      <c r="O14" s="320">
        <v>498723</v>
      </c>
      <c r="P14" s="320">
        <v>1969286</v>
      </c>
      <c r="Q14" s="320">
        <v>1452108</v>
      </c>
      <c r="R14" s="320">
        <v>975858</v>
      </c>
      <c r="S14" s="320">
        <v>496246</v>
      </c>
      <c r="U14" s="315" t="s">
        <v>189</v>
      </c>
      <c r="V14" s="264" t="s">
        <v>71</v>
      </c>
      <c r="W14" s="266">
        <v>1942080</v>
      </c>
      <c r="X14" s="266">
        <v>1418014</v>
      </c>
      <c r="Y14" s="266">
        <v>913969</v>
      </c>
      <c r="Z14" s="266">
        <v>450559</v>
      </c>
      <c r="AA14" s="266">
        <v>1641575</v>
      </c>
      <c r="AB14" s="266">
        <v>1172409</v>
      </c>
      <c r="AC14" s="266">
        <v>733958</v>
      </c>
      <c r="AD14" s="266">
        <v>328132</v>
      </c>
      <c r="AE14" s="316">
        <v>1072514</v>
      </c>
      <c r="AF14" s="266">
        <v>774824</v>
      </c>
      <c r="AG14" s="266">
        <v>512697</v>
      </c>
      <c r="AH14" s="317">
        <v>267595</v>
      </c>
      <c r="AI14" s="266">
        <v>1072514</v>
      </c>
      <c r="AJ14" s="266">
        <v>774824</v>
      </c>
      <c r="AK14" s="266">
        <v>512697</v>
      </c>
      <c r="AL14" s="266">
        <v>267595</v>
      </c>
      <c r="AM14" s="266">
        <v>931950</v>
      </c>
      <c r="AN14" s="266">
        <v>656070</v>
      </c>
      <c r="AO14" s="266">
        <v>387754</v>
      </c>
      <c r="AP14" s="266">
        <v>192544</v>
      </c>
      <c r="AQ14" s="286">
        <v>776265</v>
      </c>
      <c r="AR14" s="286">
        <v>577081</v>
      </c>
      <c r="AS14" s="286">
        <v>389056</v>
      </c>
      <c r="AT14" s="266">
        <v>198120</v>
      </c>
      <c r="AU14" s="266">
        <v>740628</v>
      </c>
      <c r="AV14" s="266">
        <v>544026</v>
      </c>
      <c r="AW14" s="266">
        <v>359224</v>
      </c>
      <c r="AX14" s="266">
        <v>177373</v>
      </c>
    </row>
    <row r="15" spans="1:50">
      <c r="A15" s="318" t="s">
        <v>190</v>
      </c>
      <c r="B15" s="319" t="s">
        <v>205</v>
      </c>
      <c r="C15" s="310">
        <v>12469</v>
      </c>
      <c r="D15" s="320">
        <v>3290</v>
      </c>
      <c r="E15" s="321">
        <f t="shared" si="0"/>
        <v>9179</v>
      </c>
      <c r="F15" s="322">
        <f t="shared" si="1"/>
        <v>279</v>
      </c>
      <c r="H15" s="323">
        <v>62764</v>
      </c>
      <c r="I15" s="323">
        <v>54156</v>
      </c>
      <c r="J15" s="323">
        <v>43023</v>
      </c>
      <c r="K15" s="323">
        <v>3290</v>
      </c>
      <c r="L15" s="320">
        <v>41821</v>
      </c>
      <c r="M15" s="320">
        <v>40396</v>
      </c>
      <c r="N15" s="320">
        <v>37093</v>
      </c>
      <c r="O15" s="320">
        <v>4882</v>
      </c>
      <c r="P15" s="320">
        <v>30884</v>
      </c>
      <c r="Q15" s="320">
        <v>29945</v>
      </c>
      <c r="R15" s="320">
        <v>25135</v>
      </c>
      <c r="S15" s="320">
        <v>2223</v>
      </c>
      <c r="U15" s="315" t="s">
        <v>190</v>
      </c>
      <c r="V15" s="264" t="s">
        <v>205</v>
      </c>
      <c r="W15" s="266">
        <v>22124</v>
      </c>
      <c r="X15" s="266">
        <v>19192</v>
      </c>
      <c r="Y15" s="266">
        <v>15883</v>
      </c>
      <c r="Z15" s="266">
        <v>286</v>
      </c>
      <c r="AA15" s="266">
        <v>20084</v>
      </c>
      <c r="AB15" s="266">
        <v>14624</v>
      </c>
      <c r="AC15" s="266">
        <v>13947</v>
      </c>
      <c r="AD15" s="266">
        <v>1678</v>
      </c>
      <c r="AE15" s="316">
        <v>18492</v>
      </c>
      <c r="AF15" s="266">
        <v>17393</v>
      </c>
      <c r="AG15" s="266">
        <v>12843</v>
      </c>
      <c r="AH15" s="317">
        <v>809</v>
      </c>
      <c r="AI15" s="266">
        <v>18492</v>
      </c>
      <c r="AJ15" s="266">
        <v>17393</v>
      </c>
      <c r="AK15" s="266">
        <v>12843</v>
      </c>
      <c r="AL15" s="266">
        <v>809</v>
      </c>
      <c r="AM15" s="266">
        <v>14101</v>
      </c>
      <c r="AN15" s="266">
        <v>13650</v>
      </c>
      <c r="AO15" s="266">
        <v>10226</v>
      </c>
      <c r="AP15" s="266">
        <v>539</v>
      </c>
      <c r="AQ15" s="286">
        <v>34339</v>
      </c>
      <c r="AR15" s="286">
        <v>13786</v>
      </c>
      <c r="AS15" s="286">
        <v>13461</v>
      </c>
      <c r="AT15" s="266">
        <v>584</v>
      </c>
      <c r="AU15" s="266">
        <v>12416</v>
      </c>
      <c r="AV15" s="266">
        <v>11631</v>
      </c>
      <c r="AW15" s="266">
        <v>11124</v>
      </c>
      <c r="AX15" s="266">
        <v>312</v>
      </c>
    </row>
    <row r="16" spans="1:50">
      <c r="A16" s="318"/>
      <c r="B16" s="319" t="s">
        <v>542</v>
      </c>
      <c r="C16" s="310">
        <v>9375</v>
      </c>
      <c r="D16" s="320">
        <v>5296</v>
      </c>
      <c r="E16" s="321">
        <f t="shared" si="0"/>
        <v>4079</v>
      </c>
      <c r="F16" s="322">
        <f t="shared" si="1"/>
        <v>77.02</v>
      </c>
      <c r="H16" s="323">
        <v>43913</v>
      </c>
      <c r="I16" s="323">
        <v>27463</v>
      </c>
      <c r="J16" s="323">
        <v>12293</v>
      </c>
      <c r="K16" s="323">
        <v>5296</v>
      </c>
      <c r="L16" s="320">
        <v>-12361</v>
      </c>
      <c r="M16" s="320">
        <v>2726</v>
      </c>
      <c r="N16" s="320">
        <v>-1271</v>
      </c>
      <c r="O16" s="320">
        <v>-4118</v>
      </c>
      <c r="P16" s="320">
        <v>23956</v>
      </c>
      <c r="Q16" s="320">
        <v>17103</v>
      </c>
      <c r="R16" s="320">
        <v>16677</v>
      </c>
      <c r="S16" s="320">
        <v>11546</v>
      </c>
      <c r="U16" s="315" t="s">
        <v>191</v>
      </c>
      <c r="V16" s="264" t="s">
        <v>206</v>
      </c>
      <c r="W16" s="266">
        <v>139722</v>
      </c>
      <c r="X16" s="266">
        <v>116747</v>
      </c>
      <c r="Y16" s="266">
        <v>84396</v>
      </c>
      <c r="Z16" s="266">
        <v>58939</v>
      </c>
      <c r="AA16" s="266">
        <v>196231</v>
      </c>
      <c r="AB16" s="266">
        <v>172610</v>
      </c>
      <c r="AC16" s="266">
        <v>119712</v>
      </c>
      <c r="AD16" s="266">
        <v>76241</v>
      </c>
      <c r="AE16" s="316">
        <v>138165</v>
      </c>
      <c r="AF16" s="266">
        <v>95589</v>
      </c>
      <c r="AG16" s="266">
        <v>52474</v>
      </c>
      <c r="AH16" s="317">
        <v>5642</v>
      </c>
      <c r="AI16" s="266">
        <v>138165</v>
      </c>
      <c r="AJ16" s="266">
        <v>95589</v>
      </c>
      <c r="AK16" s="266">
        <v>52474</v>
      </c>
      <c r="AL16" s="266">
        <v>5642</v>
      </c>
      <c r="AM16" s="266">
        <v>113993</v>
      </c>
      <c r="AN16" s="266">
        <v>77186</v>
      </c>
      <c r="AO16" s="266">
        <v>27465</v>
      </c>
      <c r="AP16" s="266">
        <v>22062</v>
      </c>
      <c r="AQ16" s="286">
        <v>104022</v>
      </c>
      <c r="AR16" s="286">
        <v>190944</v>
      </c>
      <c r="AS16" s="286">
        <v>170065</v>
      </c>
      <c r="AT16" s="266">
        <v>153634</v>
      </c>
      <c r="AU16" s="266">
        <v>103134</v>
      </c>
      <c r="AV16" s="266">
        <v>71022</v>
      </c>
      <c r="AW16" s="266">
        <v>50533</v>
      </c>
      <c r="AX16" s="266">
        <v>24664</v>
      </c>
    </row>
    <row r="17" spans="1:50">
      <c r="A17" s="318" t="s">
        <v>191</v>
      </c>
      <c r="B17" s="319" t="s">
        <v>206</v>
      </c>
      <c r="C17" s="310">
        <v>-28928</v>
      </c>
      <c r="D17" s="320">
        <v>18789</v>
      </c>
      <c r="E17" s="321">
        <f t="shared" si="0"/>
        <v>-47717</v>
      </c>
      <c r="F17" s="322">
        <f t="shared" si="1"/>
        <v>-253.96</v>
      </c>
      <c r="H17" s="323">
        <v>127358</v>
      </c>
      <c r="I17" s="323">
        <v>57568</v>
      </c>
      <c r="J17" s="323">
        <v>34946</v>
      </c>
      <c r="K17" s="323">
        <v>18789</v>
      </c>
      <c r="L17" s="320">
        <v>13499</v>
      </c>
      <c r="M17" s="320">
        <v>3447</v>
      </c>
      <c r="N17" s="320">
        <v>10293</v>
      </c>
      <c r="O17" s="320">
        <v>13968</v>
      </c>
      <c r="P17" s="320">
        <v>100042</v>
      </c>
      <c r="Q17" s="320">
        <v>95575</v>
      </c>
      <c r="R17" s="320">
        <v>53948</v>
      </c>
      <c r="S17" s="320">
        <v>50882</v>
      </c>
      <c r="U17" s="315" t="s">
        <v>558</v>
      </c>
      <c r="V17" s="264" t="s">
        <v>90</v>
      </c>
      <c r="W17" s="266">
        <v>328532</v>
      </c>
      <c r="X17" s="266">
        <v>-329</v>
      </c>
      <c r="Y17" s="266">
        <v>-12746</v>
      </c>
      <c r="Z17" s="266">
        <v>-2470</v>
      </c>
      <c r="AA17" s="266">
        <v>25026</v>
      </c>
      <c r="AB17" s="266">
        <v>11735</v>
      </c>
      <c r="AC17" s="266">
        <v>2488</v>
      </c>
      <c r="AD17" s="266">
        <v>8119</v>
      </c>
      <c r="AE17" s="316">
        <v>40974</v>
      </c>
      <c r="AF17" s="266">
        <v>31969</v>
      </c>
      <c r="AG17" s="266">
        <v>24331</v>
      </c>
      <c r="AH17" s="317">
        <v>14607</v>
      </c>
      <c r="AI17" s="266">
        <v>40974</v>
      </c>
      <c r="AJ17" s="266">
        <v>31969</v>
      </c>
      <c r="AK17" s="266">
        <v>24331</v>
      </c>
      <c r="AL17" s="266">
        <v>14607</v>
      </c>
      <c r="AM17" s="266">
        <v>51079</v>
      </c>
      <c r="AN17" s="266">
        <v>34771</v>
      </c>
      <c r="AO17" s="266">
        <v>15260</v>
      </c>
      <c r="AP17" s="266">
        <v>6337</v>
      </c>
      <c r="AQ17" s="286">
        <v>44209</v>
      </c>
      <c r="AR17" s="286">
        <v>30657</v>
      </c>
      <c r="AS17" s="286">
        <v>19659</v>
      </c>
      <c r="AT17" s="266">
        <v>11485</v>
      </c>
      <c r="AU17" s="266">
        <v>58190</v>
      </c>
      <c r="AV17" s="266">
        <v>48173</v>
      </c>
      <c r="AW17" s="266">
        <v>24608</v>
      </c>
      <c r="AX17" s="266">
        <v>10310</v>
      </c>
    </row>
    <row r="18" spans="1:50">
      <c r="A18" s="318" t="s">
        <v>544</v>
      </c>
      <c r="B18" s="319" t="s">
        <v>90</v>
      </c>
      <c r="C18" s="310">
        <v>12790</v>
      </c>
      <c r="D18" s="320">
        <v>48490</v>
      </c>
      <c r="E18" s="321">
        <f t="shared" si="0"/>
        <v>-35700</v>
      </c>
      <c r="F18" s="322">
        <f t="shared" si="1"/>
        <v>-73.62</v>
      </c>
      <c r="H18" s="323">
        <v>134623</v>
      </c>
      <c r="I18" s="323">
        <v>93069</v>
      </c>
      <c r="J18" s="323">
        <v>72203</v>
      </c>
      <c r="K18" s="323">
        <v>48490</v>
      </c>
      <c r="L18" s="320">
        <v>96367</v>
      </c>
      <c r="M18" s="320">
        <v>56596</v>
      </c>
      <c r="N18" s="320">
        <v>14725</v>
      </c>
      <c r="O18" s="320">
        <v>4099</v>
      </c>
      <c r="P18" s="320">
        <v>100737</v>
      </c>
      <c r="Q18" s="320">
        <v>37623</v>
      </c>
      <c r="R18" s="320">
        <v>32639</v>
      </c>
      <c r="S18" s="320">
        <v>33220</v>
      </c>
      <c r="U18" s="324"/>
      <c r="V18" s="325" t="s">
        <v>500</v>
      </c>
      <c r="W18" s="326">
        <v>4258351</v>
      </c>
      <c r="X18" s="326">
        <v>2814054</v>
      </c>
      <c r="Y18" s="326">
        <v>1786951</v>
      </c>
      <c r="Z18" s="326">
        <v>883743</v>
      </c>
      <c r="AA18" s="326">
        <v>3388278</v>
      </c>
      <c r="AB18" s="326">
        <v>2490797</v>
      </c>
      <c r="AC18" s="326">
        <v>1598427</v>
      </c>
      <c r="AD18" s="326">
        <v>757683</v>
      </c>
      <c r="AE18" s="327">
        <v>2509021</v>
      </c>
      <c r="AF18" s="326">
        <v>1863518</v>
      </c>
      <c r="AG18" s="326">
        <v>1220596</v>
      </c>
      <c r="AH18" s="328">
        <v>596624</v>
      </c>
      <c r="AI18" s="326">
        <v>2509021</v>
      </c>
      <c r="AJ18" s="326">
        <v>1863518</v>
      </c>
      <c r="AK18" s="326">
        <v>1220596</v>
      </c>
      <c r="AL18" s="326">
        <v>596624</v>
      </c>
      <c r="AM18" s="326">
        <v>2275662</v>
      </c>
      <c r="AN18" s="326">
        <v>1643770</v>
      </c>
      <c r="AO18" s="326">
        <v>986889</v>
      </c>
      <c r="AP18" s="326">
        <v>495378</v>
      </c>
      <c r="AQ18" s="329">
        <v>2081272</v>
      </c>
      <c r="AR18" s="329">
        <v>1662560</v>
      </c>
      <c r="AS18" s="329">
        <v>1165743</v>
      </c>
      <c r="AT18" s="326">
        <v>657057</v>
      </c>
      <c r="AU18" s="326">
        <v>2038847</v>
      </c>
      <c r="AV18" s="326">
        <v>1525189</v>
      </c>
      <c r="AW18" s="326">
        <v>1015608</v>
      </c>
      <c r="AX18" s="326">
        <v>500773</v>
      </c>
    </row>
    <row r="19" spans="1:50">
      <c r="A19" s="330"/>
      <c r="B19" s="331" t="s">
        <v>500</v>
      </c>
      <c r="C19" s="332">
        <v>1774112</v>
      </c>
      <c r="D19" s="333">
        <v>1428857</v>
      </c>
      <c r="E19" s="334">
        <f t="shared" si="0"/>
        <v>345255</v>
      </c>
      <c r="F19" s="335">
        <f t="shared" si="1"/>
        <v>24.16</v>
      </c>
      <c r="H19" s="336">
        <v>6589288</v>
      </c>
      <c r="I19" s="336">
        <v>4646251</v>
      </c>
      <c r="J19" s="336">
        <v>2851967</v>
      </c>
      <c r="K19" s="336">
        <v>1428857</v>
      </c>
      <c r="L19" s="333">
        <v>5574637</v>
      </c>
      <c r="M19" s="333">
        <v>4129070</v>
      </c>
      <c r="N19" s="333">
        <v>2758050</v>
      </c>
      <c r="O19" s="333">
        <v>1361174</v>
      </c>
      <c r="P19" s="333">
        <v>5476722</v>
      </c>
      <c r="Q19" s="333">
        <v>4013871</v>
      </c>
      <c r="R19" s="333">
        <v>2649226</v>
      </c>
      <c r="S19" s="333">
        <v>1320106</v>
      </c>
      <c r="U19" s="315" t="s">
        <v>430</v>
      </c>
      <c r="V19" s="264" t="s">
        <v>209</v>
      </c>
      <c r="W19" s="266">
        <v>-1682286</v>
      </c>
      <c r="X19" s="266">
        <v>-1072485</v>
      </c>
      <c r="Y19" s="266">
        <v>-711542</v>
      </c>
      <c r="Z19" s="266">
        <v>-352154</v>
      </c>
      <c r="AA19" s="266">
        <v>-1528240</v>
      </c>
      <c r="AB19" s="266">
        <v>-971024</v>
      </c>
      <c r="AC19" s="266">
        <v>-657203</v>
      </c>
      <c r="AD19" s="266">
        <v>-302142</v>
      </c>
      <c r="AE19" s="316">
        <v>-960719</v>
      </c>
      <c r="AF19" s="266">
        <v>-721302</v>
      </c>
      <c r="AG19" s="266">
        <v>-504664</v>
      </c>
      <c r="AH19" s="317">
        <v>-255576</v>
      </c>
      <c r="AI19" s="266">
        <v>-960719</v>
      </c>
      <c r="AJ19" s="266">
        <v>-721302</v>
      </c>
      <c r="AK19" s="266">
        <v>-504664</v>
      </c>
      <c r="AL19" s="266">
        <v>-255576</v>
      </c>
      <c r="AM19" s="266">
        <v>-1049686</v>
      </c>
      <c r="AN19" s="266">
        <v>-657676</v>
      </c>
      <c r="AO19" s="266">
        <v>-426740</v>
      </c>
      <c r="AP19" s="266">
        <v>-213631</v>
      </c>
      <c r="AQ19" s="286">
        <v>-821494</v>
      </c>
      <c r="AR19" s="286">
        <v>-614987</v>
      </c>
      <c r="AS19" s="286">
        <v>-420434</v>
      </c>
      <c r="AT19" s="266">
        <v>-207534</v>
      </c>
      <c r="AU19" s="266">
        <v>-783478</v>
      </c>
      <c r="AV19" s="266">
        <v>-577332</v>
      </c>
      <c r="AW19" s="266">
        <v>-385676</v>
      </c>
      <c r="AX19" s="266">
        <v>-194125</v>
      </c>
    </row>
    <row r="20" spans="1:50">
      <c r="A20" s="308" t="s">
        <v>430</v>
      </c>
      <c r="B20" s="309" t="s">
        <v>209</v>
      </c>
      <c r="C20" s="337">
        <v>-497174</v>
      </c>
      <c r="D20" s="311">
        <v>-414052</v>
      </c>
      <c r="E20" s="312">
        <f t="shared" si="0"/>
        <v>-83122</v>
      </c>
      <c r="F20" s="313">
        <f t="shared" si="1"/>
        <v>20.079999999999998</v>
      </c>
      <c r="H20" s="314">
        <v>-1800564</v>
      </c>
      <c r="I20" s="314">
        <v>-1303145</v>
      </c>
      <c r="J20" s="314">
        <v>-822944</v>
      </c>
      <c r="K20" s="314">
        <v>-414052</v>
      </c>
      <c r="L20" s="311">
        <v>-1915500</v>
      </c>
      <c r="M20" s="311">
        <v>-1455831</v>
      </c>
      <c r="N20" s="311">
        <v>-1060157</v>
      </c>
      <c r="O20" s="311">
        <v>-437692</v>
      </c>
      <c r="P20" s="311">
        <v>-2001397</v>
      </c>
      <c r="Q20" s="311">
        <v>-1245518</v>
      </c>
      <c r="R20" s="311">
        <v>-860041</v>
      </c>
      <c r="S20" s="311">
        <v>-429175</v>
      </c>
      <c r="U20" s="315" t="s">
        <v>559</v>
      </c>
      <c r="V20" s="264" t="s">
        <v>210</v>
      </c>
      <c r="W20" s="266">
        <v>-877808</v>
      </c>
      <c r="X20" s="266">
        <v>-575296</v>
      </c>
      <c r="Y20" s="266">
        <v>-342655</v>
      </c>
      <c r="Z20" s="266">
        <v>-160690</v>
      </c>
      <c r="AA20" s="266">
        <v>-679158</v>
      </c>
      <c r="AB20" s="266">
        <v>-498408</v>
      </c>
      <c r="AC20" s="266">
        <v>-347283</v>
      </c>
      <c r="AD20" s="266">
        <v>-189880</v>
      </c>
      <c r="AE20" s="316">
        <v>-499040</v>
      </c>
      <c r="AF20" s="266">
        <v>-351600</v>
      </c>
      <c r="AG20" s="266">
        <v>-231463</v>
      </c>
      <c r="AH20" s="317">
        <v>-114546</v>
      </c>
      <c r="AI20" s="266">
        <v>-499040</v>
      </c>
      <c r="AJ20" s="266">
        <v>-351600</v>
      </c>
      <c r="AK20" s="266">
        <v>-231463</v>
      </c>
      <c r="AL20" s="266">
        <v>-114546</v>
      </c>
      <c r="AM20" s="266">
        <v>-451830</v>
      </c>
      <c r="AN20" s="266">
        <v>-305357</v>
      </c>
      <c r="AO20" s="266">
        <v>-187134</v>
      </c>
      <c r="AP20" s="266">
        <v>-90930</v>
      </c>
      <c r="AQ20" s="286">
        <v>-442431</v>
      </c>
      <c r="AR20" s="286">
        <v>-316589</v>
      </c>
      <c r="AS20" s="286">
        <v>-212266</v>
      </c>
      <c r="AT20" s="266">
        <v>-102285</v>
      </c>
      <c r="AU20" s="266">
        <v>-425611</v>
      </c>
      <c r="AV20" s="266">
        <v>-308957</v>
      </c>
      <c r="AW20" s="266">
        <v>-201492</v>
      </c>
      <c r="AX20" s="266">
        <v>-96628</v>
      </c>
    </row>
    <row r="21" spans="1:50">
      <c r="A21" s="318" t="s">
        <v>530</v>
      </c>
      <c r="B21" s="319" t="s">
        <v>210</v>
      </c>
      <c r="C21" s="310">
        <v>-210606</v>
      </c>
      <c r="D21" s="320">
        <v>-179639</v>
      </c>
      <c r="E21" s="321">
        <f t="shared" si="0"/>
        <v>-30967</v>
      </c>
      <c r="F21" s="322">
        <f t="shared" si="1"/>
        <v>17.239999999999998</v>
      </c>
      <c r="H21" s="323">
        <v>-856127</v>
      </c>
      <c r="I21" s="323">
        <v>-584525</v>
      </c>
      <c r="J21" s="323">
        <v>-354368</v>
      </c>
      <c r="K21" s="323">
        <v>-179639</v>
      </c>
      <c r="L21" s="320">
        <v>-784151</v>
      </c>
      <c r="M21" s="320">
        <v>-556327</v>
      </c>
      <c r="N21" s="320">
        <v>-377266</v>
      </c>
      <c r="O21" s="320">
        <v>-188567</v>
      </c>
      <c r="P21" s="320">
        <v>-771223</v>
      </c>
      <c r="Q21" s="320">
        <v>-546682</v>
      </c>
      <c r="R21" s="320">
        <v>-365109</v>
      </c>
      <c r="S21" s="320">
        <v>-179602</v>
      </c>
      <c r="U21" s="315" t="s">
        <v>432</v>
      </c>
      <c r="V21" s="264" t="s">
        <v>475</v>
      </c>
      <c r="W21" s="266">
        <v>-227672</v>
      </c>
      <c r="X21" s="266">
        <v>-154746</v>
      </c>
      <c r="Y21" s="266">
        <v>-94082</v>
      </c>
      <c r="Z21" s="266">
        <v>-45584</v>
      </c>
      <c r="AA21" s="266">
        <v>-280117</v>
      </c>
      <c r="AB21" s="266">
        <v>-159813</v>
      </c>
      <c r="AC21" s="266">
        <v>-106964</v>
      </c>
      <c r="AD21" s="266">
        <v>-54454</v>
      </c>
      <c r="AE21" s="316">
        <v>-167421</v>
      </c>
      <c r="AF21" s="266">
        <v>-122139</v>
      </c>
      <c r="AG21" s="266">
        <v>-81353</v>
      </c>
      <c r="AH21" s="317">
        <v>-39905</v>
      </c>
      <c r="AI21" s="266">
        <v>-178518</v>
      </c>
      <c r="AJ21" s="266">
        <v>-128003</v>
      </c>
      <c r="AK21" s="266">
        <v>-85008</v>
      </c>
      <c r="AL21" s="266">
        <v>-40957</v>
      </c>
      <c r="AM21" s="266">
        <v>-185076</v>
      </c>
      <c r="AN21" s="266">
        <v>-108741</v>
      </c>
      <c r="AO21" s="266">
        <v>-68552</v>
      </c>
      <c r="AP21" s="266">
        <v>-33172</v>
      </c>
      <c r="AQ21" s="286">
        <v>-118939</v>
      </c>
      <c r="AR21" s="286">
        <v>-79258</v>
      </c>
      <c r="AS21" s="286">
        <v>-56325</v>
      </c>
      <c r="AT21" s="266">
        <v>-21339</v>
      </c>
      <c r="AU21" s="266">
        <v>-87429</v>
      </c>
      <c r="AV21" s="266">
        <v>-61350</v>
      </c>
      <c r="AW21" s="266">
        <v>-40697</v>
      </c>
      <c r="AX21" s="266">
        <v>-18685</v>
      </c>
    </row>
    <row r="22" spans="1:50">
      <c r="A22" s="318" t="s">
        <v>432</v>
      </c>
      <c r="B22" s="319" t="s">
        <v>475</v>
      </c>
      <c r="C22" s="310">
        <v>-92139</v>
      </c>
      <c r="D22" s="320">
        <v>-73731</v>
      </c>
      <c r="E22" s="321">
        <f t="shared" si="0"/>
        <v>-18408</v>
      </c>
      <c r="F22" s="322">
        <f t="shared" si="1"/>
        <v>24.97</v>
      </c>
      <c r="H22" s="323">
        <v>-356852</v>
      </c>
      <c r="I22" s="323">
        <v>-248035</v>
      </c>
      <c r="J22" s="323">
        <v>-150776</v>
      </c>
      <c r="K22" s="323">
        <v>-73731</v>
      </c>
      <c r="L22" s="320">
        <v>-334591</v>
      </c>
      <c r="M22" s="320">
        <v>-205819</v>
      </c>
      <c r="N22" s="320">
        <v>-132250</v>
      </c>
      <c r="O22" s="320">
        <v>-63044</v>
      </c>
      <c r="P22" s="320">
        <v>-263564</v>
      </c>
      <c r="Q22" s="320">
        <v>-174056</v>
      </c>
      <c r="R22" s="320">
        <v>-115017</v>
      </c>
      <c r="S22" s="320">
        <v>-57161</v>
      </c>
      <c r="U22" s="324"/>
      <c r="V22" s="325" t="s">
        <v>499</v>
      </c>
      <c r="W22" s="326">
        <v>-2787766</v>
      </c>
      <c r="X22" s="326">
        <v>-1802527</v>
      </c>
      <c r="Y22" s="326">
        <v>-1148279</v>
      </c>
      <c r="Z22" s="326">
        <v>-558428</v>
      </c>
      <c r="AA22" s="326">
        <v>-2487515</v>
      </c>
      <c r="AB22" s="326">
        <v>-1629245</v>
      </c>
      <c r="AC22" s="326">
        <v>-1111450</v>
      </c>
      <c r="AD22" s="326">
        <v>-546476</v>
      </c>
      <c r="AE22" s="327">
        <v>-1627180</v>
      </c>
      <c r="AF22" s="326">
        <v>-1195041</v>
      </c>
      <c r="AG22" s="326">
        <v>-817480</v>
      </c>
      <c r="AH22" s="328">
        <v>-410027</v>
      </c>
      <c r="AI22" s="326">
        <v>-1638277</v>
      </c>
      <c r="AJ22" s="326">
        <v>-1200905</v>
      </c>
      <c r="AK22" s="326">
        <v>-821135</v>
      </c>
      <c r="AL22" s="326">
        <v>-411079</v>
      </c>
      <c r="AM22" s="326">
        <v>-1686592</v>
      </c>
      <c r="AN22" s="326">
        <v>-1071774</v>
      </c>
      <c r="AO22" s="326">
        <v>-682426</v>
      </c>
      <c r="AP22" s="326">
        <v>-337733</v>
      </c>
      <c r="AQ22" s="329">
        <v>-1382864</v>
      </c>
      <c r="AR22" s="329">
        <v>-1010834</v>
      </c>
      <c r="AS22" s="329">
        <v>-689025</v>
      </c>
      <c r="AT22" s="326">
        <v>-331158</v>
      </c>
      <c r="AU22" s="326">
        <v>-1296518</v>
      </c>
      <c r="AV22" s="326">
        <v>-947639</v>
      </c>
      <c r="AW22" s="326">
        <v>-627865</v>
      </c>
      <c r="AX22" s="326">
        <v>-309438</v>
      </c>
    </row>
    <row r="23" spans="1:50">
      <c r="A23" s="330"/>
      <c r="B23" s="331" t="s">
        <v>499</v>
      </c>
      <c r="C23" s="332">
        <v>-799919</v>
      </c>
      <c r="D23" s="333">
        <v>-667422</v>
      </c>
      <c r="E23" s="334">
        <f t="shared" si="0"/>
        <v>-132497</v>
      </c>
      <c r="F23" s="335">
        <f t="shared" si="1"/>
        <v>19.850000000000001</v>
      </c>
      <c r="H23" s="336">
        <v>-3013543</v>
      </c>
      <c r="I23" s="336">
        <v>-2135705</v>
      </c>
      <c r="J23" s="336">
        <v>-1328088</v>
      </c>
      <c r="K23" s="336">
        <v>-667422</v>
      </c>
      <c r="L23" s="333">
        <v>-3034242</v>
      </c>
      <c r="M23" s="333">
        <v>-2217977</v>
      </c>
      <c r="N23" s="333">
        <v>-1569673</v>
      </c>
      <c r="O23" s="333">
        <v>-689303</v>
      </c>
      <c r="P23" s="333">
        <v>-3036184</v>
      </c>
      <c r="Q23" s="333">
        <v>-1966256</v>
      </c>
      <c r="R23" s="333">
        <v>-1340167</v>
      </c>
      <c r="S23" s="333">
        <v>-665938</v>
      </c>
      <c r="U23" s="338"/>
      <c r="V23" s="339" t="s">
        <v>213</v>
      </c>
      <c r="W23" s="340">
        <v>1470585</v>
      </c>
      <c r="X23" s="340">
        <v>1011527</v>
      </c>
      <c r="Y23" s="340">
        <v>638672</v>
      </c>
      <c r="Z23" s="340">
        <v>325315</v>
      </c>
      <c r="AA23" s="340">
        <v>900763</v>
      </c>
      <c r="AB23" s="340">
        <v>861552</v>
      </c>
      <c r="AC23" s="340">
        <v>486977</v>
      </c>
      <c r="AD23" s="340">
        <v>211207</v>
      </c>
      <c r="AE23" s="341">
        <v>881841</v>
      </c>
      <c r="AF23" s="340">
        <v>668477</v>
      </c>
      <c r="AG23" s="340">
        <v>403116</v>
      </c>
      <c r="AH23" s="342">
        <v>186597</v>
      </c>
      <c r="AI23" s="340">
        <v>870744</v>
      </c>
      <c r="AJ23" s="340">
        <v>662613</v>
      </c>
      <c r="AK23" s="340">
        <v>399461</v>
      </c>
      <c r="AL23" s="340">
        <v>185545</v>
      </c>
      <c r="AM23" s="340">
        <v>589070</v>
      </c>
      <c r="AN23" s="340">
        <v>571996</v>
      </c>
      <c r="AO23" s="340">
        <v>304463</v>
      </c>
      <c r="AP23" s="340">
        <v>157645</v>
      </c>
      <c r="AQ23" s="343">
        <v>698408</v>
      </c>
      <c r="AR23" s="343">
        <v>651726</v>
      </c>
      <c r="AS23" s="343">
        <v>476718</v>
      </c>
      <c r="AT23" s="340">
        <v>325899</v>
      </c>
      <c r="AU23" s="340">
        <v>742329</v>
      </c>
      <c r="AV23" s="340">
        <v>577550</v>
      </c>
      <c r="AW23" s="340">
        <v>387743</v>
      </c>
      <c r="AX23" s="340">
        <v>191335</v>
      </c>
    </row>
    <row r="24" spans="1:50">
      <c r="A24" s="344"/>
      <c r="B24" s="345" t="s">
        <v>213</v>
      </c>
      <c r="C24" s="346">
        <v>974193</v>
      </c>
      <c r="D24" s="347">
        <v>761435</v>
      </c>
      <c r="E24" s="348">
        <f t="shared" si="0"/>
        <v>212758</v>
      </c>
      <c r="F24" s="349">
        <f t="shared" si="1"/>
        <v>27.94</v>
      </c>
      <c r="H24" s="350">
        <v>3575745</v>
      </c>
      <c r="I24" s="350">
        <v>2510546</v>
      </c>
      <c r="J24" s="350">
        <v>1523879</v>
      </c>
      <c r="K24" s="350">
        <v>761435</v>
      </c>
      <c r="L24" s="347">
        <v>2540395</v>
      </c>
      <c r="M24" s="347">
        <v>1911093</v>
      </c>
      <c r="N24" s="347">
        <v>1188377</v>
      </c>
      <c r="O24" s="347">
        <v>671871</v>
      </c>
      <c r="P24" s="347">
        <v>2440538</v>
      </c>
      <c r="Q24" s="347">
        <v>2047615</v>
      </c>
      <c r="R24" s="347">
        <v>1309059</v>
      </c>
      <c r="S24" s="347">
        <v>654168</v>
      </c>
      <c r="U24" s="351" t="s">
        <v>194</v>
      </c>
      <c r="V24" s="270" t="s">
        <v>469</v>
      </c>
      <c r="W24" s="266">
        <v>-606059</v>
      </c>
      <c r="X24" s="266">
        <v>-334599</v>
      </c>
      <c r="Y24" s="266">
        <v>-215617</v>
      </c>
      <c r="Z24" s="266">
        <v>-111925</v>
      </c>
      <c r="AA24" s="266">
        <v>-837194</v>
      </c>
      <c r="AB24" s="266">
        <v>-714497</v>
      </c>
      <c r="AC24" s="266">
        <v>-576295</v>
      </c>
      <c r="AD24" s="266">
        <v>-419004</v>
      </c>
      <c r="AE24" s="316">
        <v>-541877</v>
      </c>
      <c r="AF24" s="266">
        <v>-405192</v>
      </c>
      <c r="AG24" s="266">
        <v>-297322</v>
      </c>
      <c r="AH24" s="317">
        <v>-139553</v>
      </c>
      <c r="AI24" s="266">
        <v>-541877</v>
      </c>
      <c r="AJ24" s="266">
        <v>-405192</v>
      </c>
      <c r="AK24" s="266">
        <v>-297322</v>
      </c>
      <c r="AL24" s="266">
        <v>-139553</v>
      </c>
      <c r="AM24" s="266">
        <v>-447547</v>
      </c>
      <c r="AN24" s="266">
        <v>-308021</v>
      </c>
      <c r="AO24" s="266">
        <v>-147036</v>
      </c>
      <c r="AP24" s="266">
        <v>-72485</v>
      </c>
      <c r="AQ24" s="286">
        <v>-225772</v>
      </c>
      <c r="AR24" s="286">
        <v>-155206</v>
      </c>
      <c r="AS24" s="286">
        <v>-84934</v>
      </c>
      <c r="AT24" s="266">
        <v>-26141</v>
      </c>
      <c r="AU24" s="266">
        <v>-535975</v>
      </c>
      <c r="AV24" s="266">
        <v>-412954</v>
      </c>
      <c r="AW24" s="266">
        <v>-323232</v>
      </c>
      <c r="AX24" s="266">
        <v>-133573</v>
      </c>
    </row>
    <row r="25" spans="1:50">
      <c r="A25" s="318" t="s">
        <v>194</v>
      </c>
      <c r="B25" s="319" t="s">
        <v>469</v>
      </c>
      <c r="C25" s="310">
        <v>-84473</v>
      </c>
      <c r="D25" s="320">
        <v>-68119</v>
      </c>
      <c r="E25" s="321">
        <f t="shared" si="0"/>
        <v>-16354</v>
      </c>
      <c r="F25" s="322">
        <f t="shared" si="1"/>
        <v>24.01</v>
      </c>
      <c r="H25" s="323">
        <v>-317613</v>
      </c>
      <c r="I25" s="323">
        <v>-228521</v>
      </c>
      <c r="J25" s="323">
        <v>-140552</v>
      </c>
      <c r="K25" s="323">
        <v>-68119</v>
      </c>
      <c r="L25" s="320">
        <v>-331758</v>
      </c>
      <c r="M25" s="320">
        <v>-252825</v>
      </c>
      <c r="N25" s="320">
        <v>-174447</v>
      </c>
      <c r="O25" s="320">
        <v>-92223</v>
      </c>
      <c r="P25" s="320">
        <v>-436261</v>
      </c>
      <c r="Q25" s="320">
        <v>-364681</v>
      </c>
      <c r="R25" s="320">
        <v>-269330</v>
      </c>
      <c r="S25" s="320">
        <v>-142411</v>
      </c>
      <c r="U25" s="351"/>
      <c r="V25" s="270" t="s">
        <v>497</v>
      </c>
      <c r="W25" s="266">
        <v>-582815</v>
      </c>
      <c r="X25" s="266">
        <v>-308884</v>
      </c>
      <c r="Y25" s="266">
        <v>-193713</v>
      </c>
      <c r="Z25" s="266">
        <v>-96109</v>
      </c>
      <c r="AA25" s="266">
        <v>-839068</v>
      </c>
      <c r="AB25" s="266">
        <v>-714070</v>
      </c>
      <c r="AC25" s="266">
        <v>-576896</v>
      </c>
      <c r="AD25" s="266">
        <v>-417667</v>
      </c>
      <c r="AE25" s="352">
        <v>-534605</v>
      </c>
      <c r="AF25" s="353">
        <v>-400361</v>
      </c>
      <c r="AG25" s="353">
        <v>-293837</v>
      </c>
      <c r="AH25" s="354">
        <v>-139991</v>
      </c>
      <c r="AI25" s="266">
        <v>-534605</v>
      </c>
      <c r="AJ25" s="266">
        <v>-400361</v>
      </c>
      <c r="AK25" s="353">
        <v>-293837</v>
      </c>
      <c r="AL25" s="353">
        <v>-139991</v>
      </c>
      <c r="AM25" s="353">
        <v>-444818</v>
      </c>
      <c r="AN25" s="353">
        <v>-305369</v>
      </c>
      <c r="AO25" s="353">
        <v>-145960</v>
      </c>
      <c r="AP25" s="353">
        <v>-71328</v>
      </c>
      <c r="AQ25" s="355">
        <v>-223315</v>
      </c>
      <c r="AR25" s="355">
        <v>-152775</v>
      </c>
      <c r="AS25" s="355">
        <v>-82688</v>
      </c>
      <c r="AT25" s="353">
        <v>-26141</v>
      </c>
      <c r="AU25" s="266"/>
      <c r="AV25" s="266"/>
      <c r="AW25" s="266"/>
      <c r="AX25" s="266"/>
    </row>
    <row r="26" spans="1:50">
      <c r="A26" s="356"/>
      <c r="B26" s="357" t="s">
        <v>497</v>
      </c>
      <c r="C26" s="358">
        <v>-85648</v>
      </c>
      <c r="D26" s="353">
        <v>-70509</v>
      </c>
      <c r="E26" s="359">
        <f t="shared" si="0"/>
        <v>-15139</v>
      </c>
      <c r="F26" s="360">
        <f t="shared" si="1"/>
        <v>21.47</v>
      </c>
      <c r="H26" s="353">
        <v>-313955</v>
      </c>
      <c r="I26" s="353">
        <v>-227717</v>
      </c>
      <c r="J26" s="353">
        <v>-142764</v>
      </c>
      <c r="K26" s="353">
        <v>-70509</v>
      </c>
      <c r="L26" s="353">
        <v>-322844</v>
      </c>
      <c r="M26" s="353">
        <v>-259672</v>
      </c>
      <c r="N26" s="353">
        <v>-180864</v>
      </c>
      <c r="O26" s="353">
        <v>-94977</v>
      </c>
      <c r="P26" s="353">
        <v>-425583</v>
      </c>
      <c r="Q26" s="353">
        <v>-353802</v>
      </c>
      <c r="R26" s="353">
        <v>-271225</v>
      </c>
      <c r="S26" s="353">
        <v>-141199</v>
      </c>
      <c r="U26" s="351"/>
      <c r="V26" s="270" t="s">
        <v>498</v>
      </c>
      <c r="W26" s="266">
        <v>-23244</v>
      </c>
      <c r="X26" s="266">
        <v>-25715</v>
      </c>
      <c r="Y26" s="266">
        <v>-21904</v>
      </c>
      <c r="Z26" s="266">
        <v>-15816</v>
      </c>
      <c r="AA26" s="266">
        <v>1874</v>
      </c>
      <c r="AB26" s="266">
        <v>-427</v>
      </c>
      <c r="AC26" s="266">
        <v>601</v>
      </c>
      <c r="AD26" s="266">
        <v>-1337</v>
      </c>
      <c r="AE26" s="352">
        <v>-7272</v>
      </c>
      <c r="AF26" s="353">
        <v>-4831</v>
      </c>
      <c r="AG26" s="353">
        <v>-3485</v>
      </c>
      <c r="AH26" s="354">
        <v>438</v>
      </c>
      <c r="AI26" s="266">
        <v>-7272</v>
      </c>
      <c r="AJ26" s="266">
        <v>-4831</v>
      </c>
      <c r="AK26" s="353">
        <v>-3485</v>
      </c>
      <c r="AL26" s="353">
        <v>438</v>
      </c>
      <c r="AM26" s="353">
        <v>-2729</v>
      </c>
      <c r="AN26" s="353">
        <v>-2652</v>
      </c>
      <c r="AO26" s="353">
        <v>-1076</v>
      </c>
      <c r="AP26" s="353">
        <v>-1157</v>
      </c>
      <c r="AQ26" s="355">
        <v>-2457</v>
      </c>
      <c r="AR26" s="355">
        <v>-2431</v>
      </c>
      <c r="AS26" s="355">
        <v>-2246</v>
      </c>
      <c r="AT26" s="353">
        <v>0</v>
      </c>
      <c r="AU26" s="266"/>
      <c r="AV26" s="266"/>
      <c r="AW26" s="266"/>
      <c r="AX26" s="266"/>
    </row>
    <row r="27" spans="1:50">
      <c r="A27" s="356"/>
      <c r="B27" s="361" t="s">
        <v>498</v>
      </c>
      <c r="C27" s="358">
        <v>1175</v>
      </c>
      <c r="D27" s="353">
        <v>2390</v>
      </c>
      <c r="E27" s="359">
        <f t="shared" si="0"/>
        <v>-1215</v>
      </c>
      <c r="F27" s="360">
        <f t="shared" si="1"/>
        <v>-50.84</v>
      </c>
      <c r="H27" s="353">
        <v>-3658</v>
      </c>
      <c r="I27" s="353">
        <v>-804</v>
      </c>
      <c r="J27" s="353">
        <v>2212</v>
      </c>
      <c r="K27" s="353">
        <v>2390</v>
      </c>
      <c r="L27" s="353">
        <v>-8914</v>
      </c>
      <c r="M27" s="353">
        <v>6847</v>
      </c>
      <c r="N27" s="353">
        <v>6417</v>
      </c>
      <c r="O27" s="353">
        <v>2754</v>
      </c>
      <c r="P27" s="353">
        <v>-10678</v>
      </c>
      <c r="Q27" s="353">
        <v>-10879</v>
      </c>
      <c r="R27" s="353">
        <v>1895</v>
      </c>
      <c r="S27" s="353">
        <v>-1212</v>
      </c>
      <c r="U27" s="351" t="s">
        <v>434</v>
      </c>
      <c r="V27" s="270" t="s">
        <v>476</v>
      </c>
      <c r="W27" s="266">
        <v>-442</v>
      </c>
      <c r="X27" s="266">
        <v>-246</v>
      </c>
      <c r="Y27" s="266">
        <v>-246</v>
      </c>
      <c r="Z27" s="266">
        <v>-16</v>
      </c>
      <c r="AA27" s="266">
        <v>2115</v>
      </c>
      <c r="AB27" s="266">
        <v>1461</v>
      </c>
      <c r="AC27" s="266">
        <v>1686</v>
      </c>
      <c r="AD27" s="266">
        <v>773</v>
      </c>
      <c r="AE27" s="316">
        <v>-362</v>
      </c>
      <c r="AF27" s="266">
        <v>-495</v>
      </c>
      <c r="AG27" s="266">
        <v>-858</v>
      </c>
      <c r="AH27" s="317">
        <v>105</v>
      </c>
      <c r="AI27" s="266">
        <v>-362</v>
      </c>
      <c r="AJ27" s="266">
        <v>-495</v>
      </c>
      <c r="AK27" s="266">
        <v>-858</v>
      </c>
      <c r="AL27" s="266">
        <v>105</v>
      </c>
      <c r="AM27" s="266">
        <v>1256</v>
      </c>
      <c r="AN27" s="266">
        <v>582</v>
      </c>
      <c r="AO27" s="266">
        <v>29</v>
      </c>
      <c r="AP27" s="266">
        <v>421</v>
      </c>
      <c r="AQ27" s="286">
        <v>2066</v>
      </c>
      <c r="AR27" s="286">
        <v>2054</v>
      </c>
      <c r="AS27" s="286">
        <v>1904</v>
      </c>
      <c r="AT27" s="266">
        <v>1763</v>
      </c>
      <c r="AU27" s="266">
        <v>-104628</v>
      </c>
      <c r="AV27" s="266">
        <v>-101000</v>
      </c>
      <c r="AW27" s="266">
        <v>-71617</v>
      </c>
      <c r="AX27" s="266">
        <v>-17381</v>
      </c>
    </row>
    <row r="28" spans="1:50">
      <c r="A28" s="318" t="s">
        <v>434</v>
      </c>
      <c r="B28" s="319" t="s">
        <v>476</v>
      </c>
      <c r="C28" s="310">
        <v>296</v>
      </c>
      <c r="D28" s="320">
        <v>-175</v>
      </c>
      <c r="E28" s="321">
        <f t="shared" si="0"/>
        <v>471</v>
      </c>
      <c r="F28" s="322">
        <f t="shared" si="1"/>
        <v>-269.14</v>
      </c>
      <c r="H28" s="323">
        <v>154</v>
      </c>
      <c r="I28" s="323">
        <v>283</v>
      </c>
      <c r="J28" s="323">
        <v>385</v>
      </c>
      <c r="K28" s="323">
        <v>-175</v>
      </c>
      <c r="L28" s="320">
        <v>-209</v>
      </c>
      <c r="M28" s="320">
        <v>-368</v>
      </c>
      <c r="N28" s="320">
        <v>-44</v>
      </c>
      <c r="O28" s="320">
        <v>-1049</v>
      </c>
      <c r="P28" s="320">
        <v>-57</v>
      </c>
      <c r="Q28" s="320">
        <v>-319</v>
      </c>
      <c r="R28" s="320">
        <v>498</v>
      </c>
      <c r="S28" s="320">
        <v>-31</v>
      </c>
      <c r="U28" s="351">
        <v>140</v>
      </c>
      <c r="V28" s="270" t="s">
        <v>435</v>
      </c>
      <c r="W28" s="266">
        <v>-139</v>
      </c>
      <c r="X28" s="266">
        <v>-625</v>
      </c>
      <c r="Y28" s="266">
        <v>-1198</v>
      </c>
      <c r="Z28" s="266">
        <v>-1225</v>
      </c>
      <c r="AA28" s="266">
        <v>-2893</v>
      </c>
      <c r="AB28" s="266">
        <v>-2165</v>
      </c>
      <c r="AC28" s="266">
        <v>-1779</v>
      </c>
      <c r="AD28" s="266">
        <v>-602</v>
      </c>
      <c r="AE28" s="316">
        <v>-2141</v>
      </c>
      <c r="AF28" s="266">
        <v>-624</v>
      </c>
      <c r="AG28" s="266">
        <v>-442</v>
      </c>
      <c r="AH28" s="317">
        <v>-195</v>
      </c>
      <c r="AI28" s="266">
        <v>-2141</v>
      </c>
      <c r="AJ28" s="266">
        <v>-624</v>
      </c>
      <c r="AK28" s="266">
        <v>-442</v>
      </c>
      <c r="AL28" s="266">
        <v>-195</v>
      </c>
      <c r="AM28" s="266">
        <v>-2979</v>
      </c>
      <c r="AN28" s="266">
        <v>-1618</v>
      </c>
      <c r="AO28" s="266">
        <v>-967</v>
      </c>
      <c r="AP28" s="266">
        <v>-891</v>
      </c>
      <c r="AQ28" s="286">
        <v>-2956</v>
      </c>
      <c r="AR28" s="286">
        <v>-2719</v>
      </c>
      <c r="AS28" s="286">
        <v>-1183</v>
      </c>
      <c r="AT28" s="266">
        <v>0</v>
      </c>
      <c r="AU28" s="266">
        <v>0</v>
      </c>
      <c r="AV28" s="266">
        <v>0</v>
      </c>
      <c r="AW28" s="266">
        <v>0</v>
      </c>
      <c r="AX28" s="266">
        <v>0</v>
      </c>
    </row>
    <row r="29" spans="1:50">
      <c r="A29" s="318">
        <v>140</v>
      </c>
      <c r="B29" s="319" t="s">
        <v>435</v>
      </c>
      <c r="C29" s="310">
        <v>-531</v>
      </c>
      <c r="D29" s="320">
        <v>-2667</v>
      </c>
      <c r="E29" s="321">
        <f t="shared" si="0"/>
        <v>2136</v>
      </c>
      <c r="F29" s="322">
        <f t="shared" si="1"/>
        <v>-80.09</v>
      </c>
      <c r="H29" s="323">
        <v>-1529</v>
      </c>
      <c r="I29" s="323">
        <v>-3060</v>
      </c>
      <c r="J29" s="323">
        <v>-2513</v>
      </c>
      <c r="K29" s="323">
        <v>-2667</v>
      </c>
      <c r="L29" s="320">
        <v>-1321</v>
      </c>
      <c r="M29" s="320">
        <v>-1052</v>
      </c>
      <c r="N29" s="320">
        <v>-655</v>
      </c>
      <c r="O29" s="320">
        <v>-184</v>
      </c>
      <c r="P29" s="320">
        <v>3006</v>
      </c>
      <c r="Q29" s="320">
        <v>3320</v>
      </c>
      <c r="R29" s="320">
        <v>2896</v>
      </c>
      <c r="S29" s="320">
        <v>1905</v>
      </c>
      <c r="U29" s="362"/>
      <c r="V29" s="325" t="s">
        <v>471</v>
      </c>
      <c r="W29" s="326">
        <v>-606640</v>
      </c>
      <c r="X29" s="326">
        <v>-335470</v>
      </c>
      <c r="Y29" s="326">
        <v>-217061</v>
      </c>
      <c r="Z29" s="326">
        <v>-113166</v>
      </c>
      <c r="AA29" s="326">
        <v>-837972</v>
      </c>
      <c r="AB29" s="326">
        <v>-715201</v>
      </c>
      <c r="AC29" s="326">
        <v>-576388</v>
      </c>
      <c r="AD29" s="326">
        <v>-418833</v>
      </c>
      <c r="AE29" s="327">
        <v>-544380</v>
      </c>
      <c r="AF29" s="326">
        <v>-406311</v>
      </c>
      <c r="AG29" s="326">
        <v>-298622</v>
      </c>
      <c r="AH29" s="328">
        <v>-139643</v>
      </c>
      <c r="AI29" s="326">
        <v>-544380</v>
      </c>
      <c r="AJ29" s="326">
        <v>-406311</v>
      </c>
      <c r="AK29" s="326">
        <v>-298622</v>
      </c>
      <c r="AL29" s="326">
        <v>-139643</v>
      </c>
      <c r="AM29" s="326">
        <v>-449270</v>
      </c>
      <c r="AN29" s="326">
        <v>-309057</v>
      </c>
      <c r="AO29" s="326">
        <v>-147974</v>
      </c>
      <c r="AP29" s="326">
        <v>-72955</v>
      </c>
      <c r="AQ29" s="329">
        <v>-226662</v>
      </c>
      <c r="AR29" s="329">
        <v>-155871</v>
      </c>
      <c r="AS29" s="329">
        <v>-84213</v>
      </c>
      <c r="AT29" s="326">
        <v>-24378</v>
      </c>
      <c r="AU29" s="326">
        <v>-640603</v>
      </c>
      <c r="AV29" s="326">
        <v>-513954</v>
      </c>
      <c r="AW29" s="326">
        <v>-394849</v>
      </c>
      <c r="AX29" s="326">
        <v>-150954</v>
      </c>
    </row>
    <row r="30" spans="1:50">
      <c r="A30" s="330"/>
      <c r="B30" s="331" t="s">
        <v>471</v>
      </c>
      <c r="C30" s="332">
        <v>-84708</v>
      </c>
      <c r="D30" s="333">
        <v>-70961</v>
      </c>
      <c r="E30" s="334">
        <f t="shared" si="0"/>
        <v>-13747</v>
      </c>
      <c r="F30" s="335">
        <f>IF(D30=0,"n.s.",IF(E30=0,"-",IF(ABS(E30/D30*100)&gt;=1000,"--",ROUND(E30/D30*100,2))))</f>
        <v>19.37</v>
      </c>
      <c r="H30" s="336">
        <v>-318988</v>
      </c>
      <c r="I30" s="336">
        <v>-231298</v>
      </c>
      <c r="J30" s="336">
        <v>-142680</v>
      </c>
      <c r="K30" s="336">
        <v>-70961</v>
      </c>
      <c r="L30" s="333">
        <v>-333288</v>
      </c>
      <c r="M30" s="333">
        <v>-254245</v>
      </c>
      <c r="N30" s="333">
        <v>-175146</v>
      </c>
      <c r="O30" s="333">
        <v>-93456</v>
      </c>
      <c r="P30" s="333">
        <v>-433312</v>
      </c>
      <c r="Q30" s="333">
        <v>-361680</v>
      </c>
      <c r="R30" s="333">
        <v>-265936</v>
      </c>
      <c r="S30" s="333">
        <v>-140537</v>
      </c>
      <c r="U30" s="351">
        <v>200</v>
      </c>
      <c r="V30" s="270" t="s">
        <v>87</v>
      </c>
      <c r="W30" s="266">
        <v>-132256</v>
      </c>
      <c r="X30" s="266">
        <v>-52824</v>
      </c>
      <c r="Y30" s="266">
        <v>-41039</v>
      </c>
      <c r="Z30" s="266">
        <v>-12200</v>
      </c>
      <c r="AA30" s="266">
        <v>-80745</v>
      </c>
      <c r="AB30" s="266">
        <v>-55033</v>
      </c>
      <c r="AC30" s="266">
        <v>-50506</v>
      </c>
      <c r="AD30" s="266">
        <v>-40914</v>
      </c>
      <c r="AE30" s="316">
        <v>-32481</v>
      </c>
      <c r="AF30" s="266">
        <v>-30010</v>
      </c>
      <c r="AG30" s="266">
        <v>-14901</v>
      </c>
      <c r="AH30" s="317">
        <v>2276</v>
      </c>
      <c r="AI30" s="266">
        <v>-32481</v>
      </c>
      <c r="AJ30" s="266">
        <v>-30010</v>
      </c>
      <c r="AK30" s="266">
        <v>-14901</v>
      </c>
      <c r="AL30" s="266">
        <v>2276</v>
      </c>
      <c r="AM30" s="266">
        <v>-12193</v>
      </c>
      <c r="AN30" s="266">
        <v>-9202</v>
      </c>
      <c r="AO30" s="266">
        <v>-11693</v>
      </c>
      <c r="AP30" s="266">
        <v>-1995</v>
      </c>
      <c r="AQ30" s="286">
        <v>-25194</v>
      </c>
      <c r="AR30" s="286">
        <v>-49130</v>
      </c>
      <c r="AS30" s="286">
        <v>-37039</v>
      </c>
      <c r="AT30" s="266">
        <v>-11663</v>
      </c>
      <c r="AU30" s="266">
        <v>-45891</v>
      </c>
      <c r="AV30" s="266">
        <v>-7990</v>
      </c>
      <c r="AW30" s="266">
        <v>-5168</v>
      </c>
      <c r="AX30" s="266">
        <v>-1014</v>
      </c>
    </row>
    <row r="31" spans="1:50">
      <c r="A31" s="308" t="s">
        <v>447</v>
      </c>
      <c r="B31" s="309" t="s">
        <v>87</v>
      </c>
      <c r="C31" s="337">
        <v>-3649</v>
      </c>
      <c r="D31" s="311">
        <v>-16872</v>
      </c>
      <c r="E31" s="312">
        <f t="shared" si="0"/>
        <v>13223</v>
      </c>
      <c r="F31" s="313">
        <f t="shared" si="1"/>
        <v>-78.37</v>
      </c>
      <c r="H31" s="314">
        <v>-43317</v>
      </c>
      <c r="I31" s="314">
        <v>-30174</v>
      </c>
      <c r="J31" s="314">
        <v>-14734</v>
      </c>
      <c r="K31" s="314">
        <v>-16872</v>
      </c>
      <c r="L31" s="311">
        <v>-75653</v>
      </c>
      <c r="M31" s="311">
        <v>-31008</v>
      </c>
      <c r="N31" s="311">
        <v>-11005</v>
      </c>
      <c r="O31" s="311">
        <v>-4659</v>
      </c>
      <c r="P31" s="311">
        <v>-62481</v>
      </c>
      <c r="Q31" s="311">
        <v>-69479</v>
      </c>
      <c r="R31" s="311">
        <v>-65386</v>
      </c>
      <c r="S31" s="311">
        <v>-57088</v>
      </c>
      <c r="U31" s="363" t="s">
        <v>235</v>
      </c>
      <c r="V31" s="270" t="s">
        <v>539</v>
      </c>
      <c r="W31" s="266">
        <v>-172423</v>
      </c>
      <c r="X31" s="266">
        <v>-169001</v>
      </c>
      <c r="Y31" s="266">
        <v>-45721</v>
      </c>
      <c r="Z31" s="266">
        <v>-45666</v>
      </c>
      <c r="AA31" s="266">
        <v>-133699</v>
      </c>
      <c r="AB31" s="266">
        <v>-126118</v>
      </c>
      <c r="AC31" s="266">
        <v>-46161</v>
      </c>
      <c r="AD31" s="266">
        <v>-31055</v>
      </c>
      <c r="AE31" s="316">
        <v>-88182</v>
      </c>
      <c r="AF31" s="266">
        <v>-64653</v>
      </c>
      <c r="AG31" s="266">
        <v>-34163</v>
      </c>
      <c r="AH31" s="317">
        <v>-31978</v>
      </c>
      <c r="AI31" s="266">
        <v>-88182</v>
      </c>
      <c r="AJ31" s="266">
        <v>-64653</v>
      </c>
      <c r="AK31" s="266">
        <v>-34163</v>
      </c>
      <c r="AL31" s="266">
        <v>-31978</v>
      </c>
      <c r="AM31" s="266">
        <v>-60681</v>
      </c>
      <c r="AN31" s="266">
        <v>-58414</v>
      </c>
      <c r="AO31" s="266">
        <v>-32643</v>
      </c>
      <c r="AP31" s="266">
        <v>-23184</v>
      </c>
      <c r="AQ31" s="286">
        <v>-52325</v>
      </c>
      <c r="AR31" s="286">
        <v>-52400</v>
      </c>
      <c r="AS31" s="286">
        <v>-28952</v>
      </c>
      <c r="AT31" s="266">
        <v>-20282</v>
      </c>
      <c r="AU31" s="266">
        <v>-37721</v>
      </c>
      <c r="AV31" s="266">
        <v>-36152</v>
      </c>
      <c r="AW31" s="266">
        <v>-15947</v>
      </c>
      <c r="AX31" s="266">
        <v>-18061</v>
      </c>
    </row>
    <row r="32" spans="1:50">
      <c r="A32" s="318" t="s">
        <v>545</v>
      </c>
      <c r="B32" s="319" t="s">
        <v>508</v>
      </c>
      <c r="C32" s="364">
        <v>-576</v>
      </c>
      <c r="D32" s="320">
        <v>213</v>
      </c>
      <c r="E32" s="320">
        <f t="shared" si="0"/>
        <v>-789</v>
      </c>
      <c r="F32" s="322">
        <f>IF(D32=0,"n.s.",IF(E32=0,"-",IF(ABS(E32/D32*100)&gt;=1000,"--",ROUND(E32/D32*100,2))))</f>
        <v>-370.42</v>
      </c>
      <c r="H32" s="323">
        <v>-17309</v>
      </c>
      <c r="I32" s="323">
        <v>1534</v>
      </c>
      <c r="J32" s="323">
        <v>2212</v>
      </c>
      <c r="K32" s="323">
        <v>213</v>
      </c>
      <c r="L32" s="320">
        <v>34210</v>
      </c>
      <c r="M32" s="320">
        <v>152386</v>
      </c>
      <c r="N32" s="320">
        <v>151327</v>
      </c>
      <c r="O32" s="320">
        <v>149347</v>
      </c>
      <c r="P32" s="320">
        <v>-58861</v>
      </c>
      <c r="Q32" s="320">
        <v>15955</v>
      </c>
      <c r="R32" s="320">
        <v>-7346</v>
      </c>
      <c r="S32" s="320">
        <v>578</v>
      </c>
      <c r="U32" s="365" t="s">
        <v>560</v>
      </c>
      <c r="V32" s="264" t="s">
        <v>508</v>
      </c>
      <c r="W32" s="266">
        <v>-7745</v>
      </c>
      <c r="X32" s="266">
        <v>13351</v>
      </c>
      <c r="Y32" s="266">
        <v>7014</v>
      </c>
      <c r="Z32" s="266">
        <v>4026</v>
      </c>
      <c r="AA32" s="266">
        <v>-283323</v>
      </c>
      <c r="AB32" s="266">
        <v>-255915</v>
      </c>
      <c r="AC32" s="266">
        <v>-253284</v>
      </c>
      <c r="AD32" s="266">
        <v>-250655</v>
      </c>
      <c r="AE32" s="316">
        <v>-20063</v>
      </c>
      <c r="AF32" s="266">
        <v>-10025</v>
      </c>
      <c r="AG32" s="266">
        <v>-10087</v>
      </c>
      <c r="AH32" s="317">
        <v>64</v>
      </c>
      <c r="AI32" s="266">
        <v>-2079</v>
      </c>
      <c r="AJ32" s="266">
        <v>-4020</v>
      </c>
      <c r="AK32" s="266">
        <v>-5160</v>
      </c>
      <c r="AL32" s="266">
        <v>321</v>
      </c>
      <c r="AM32" s="266">
        <v>6611</v>
      </c>
      <c r="AN32" s="266">
        <v>8810</v>
      </c>
      <c r="AO32" s="266">
        <v>8395</v>
      </c>
      <c r="AP32" s="266">
        <v>3809</v>
      </c>
      <c r="AQ32" s="286">
        <v>-48701</v>
      </c>
      <c r="AR32" s="286">
        <v>8953</v>
      </c>
      <c r="AS32" s="286">
        <v>5418</v>
      </c>
      <c r="AT32" s="266">
        <v>2827</v>
      </c>
      <c r="AU32" s="266">
        <v>-9886</v>
      </c>
      <c r="AV32" s="266">
        <v>11433</v>
      </c>
      <c r="AW32" s="266">
        <v>6548</v>
      </c>
      <c r="AX32" s="266">
        <v>3705</v>
      </c>
    </row>
    <row r="33" spans="1:50">
      <c r="A33" s="366" t="s">
        <v>546</v>
      </c>
      <c r="B33" s="319" t="s">
        <v>306</v>
      </c>
      <c r="C33" s="310"/>
      <c r="D33" s="320">
        <v>0</v>
      </c>
      <c r="E33" s="321">
        <f t="shared" ref="E33:E43" si="2">C33-D33</f>
        <v>0</v>
      </c>
      <c r="F33" s="322" t="str">
        <f t="shared" si="1"/>
        <v>n.s.</v>
      </c>
      <c r="H33" s="323">
        <v>0</v>
      </c>
      <c r="I33" s="323">
        <v>0</v>
      </c>
      <c r="J33" s="323">
        <v>0</v>
      </c>
      <c r="K33" s="323">
        <v>0</v>
      </c>
      <c r="L33" s="320">
        <v>0</v>
      </c>
      <c r="M33" s="320">
        <v>0</v>
      </c>
      <c r="N33" s="320">
        <v>0</v>
      </c>
      <c r="O33" s="320">
        <v>0</v>
      </c>
      <c r="P33" s="320">
        <v>0</v>
      </c>
      <c r="Q33" s="320">
        <v>0</v>
      </c>
      <c r="R33" s="320">
        <v>0</v>
      </c>
      <c r="S33" s="320">
        <v>0</v>
      </c>
      <c r="U33" s="367">
        <v>275</v>
      </c>
      <c r="V33" s="270" t="s">
        <v>306</v>
      </c>
      <c r="W33" s="266">
        <v>948123</v>
      </c>
      <c r="X33" s="266">
        <v>1171322</v>
      </c>
      <c r="Y33" s="266">
        <v>1188433</v>
      </c>
      <c r="Z33" s="266">
        <v>0</v>
      </c>
      <c r="AA33" s="266">
        <v>1127847</v>
      </c>
      <c r="AB33" s="266">
        <v>1127847</v>
      </c>
      <c r="AC33" s="266">
        <v>1149922</v>
      </c>
      <c r="AD33" s="266">
        <v>1077869</v>
      </c>
      <c r="AE33" s="316">
        <v>0</v>
      </c>
      <c r="AF33" s="266">
        <v>0</v>
      </c>
      <c r="AG33" s="266">
        <v>0</v>
      </c>
      <c r="AH33" s="317">
        <v>0</v>
      </c>
      <c r="AI33" s="266">
        <v>0</v>
      </c>
      <c r="AJ33" s="266">
        <v>0</v>
      </c>
      <c r="AK33" s="266">
        <v>0</v>
      </c>
      <c r="AL33" s="266">
        <v>0</v>
      </c>
      <c r="AM33" s="266">
        <v>343361</v>
      </c>
      <c r="AN33" s="266">
        <v>353805</v>
      </c>
      <c r="AO33" s="266">
        <v>0</v>
      </c>
      <c r="AP33" s="266">
        <v>0</v>
      </c>
      <c r="AQ33" s="286">
        <v>0</v>
      </c>
      <c r="AR33" s="286">
        <v>0</v>
      </c>
      <c r="AS33" s="286">
        <v>0</v>
      </c>
      <c r="AT33" s="266">
        <v>0</v>
      </c>
      <c r="AU33" s="266">
        <v>190892</v>
      </c>
      <c r="AV33" s="266">
        <v>130722</v>
      </c>
      <c r="AW33" s="266">
        <v>130722</v>
      </c>
      <c r="AX33" s="266">
        <v>0</v>
      </c>
    </row>
    <row r="34" spans="1:50">
      <c r="A34" s="330">
        <v>290</v>
      </c>
      <c r="B34" s="331" t="s">
        <v>501</v>
      </c>
      <c r="C34" s="332">
        <v>885260</v>
      </c>
      <c r="D34" s="333">
        <v>673815</v>
      </c>
      <c r="E34" s="334">
        <f>C34-D34</f>
        <v>211445</v>
      </c>
      <c r="F34" s="335">
        <f t="shared" si="1"/>
        <v>31.38</v>
      </c>
      <c r="H34" s="336">
        <v>3196131</v>
      </c>
      <c r="I34" s="336">
        <v>2250608</v>
      </c>
      <c r="J34" s="336">
        <v>1368677</v>
      </c>
      <c r="K34" s="336">
        <v>673815</v>
      </c>
      <c r="L34" s="333">
        <v>2165664</v>
      </c>
      <c r="M34" s="333">
        <v>1778226</v>
      </c>
      <c r="N34" s="333">
        <v>1153553</v>
      </c>
      <c r="O34" s="333">
        <v>723103</v>
      </c>
      <c r="P34" s="333">
        <v>1885884</v>
      </c>
      <c r="Q34" s="333">
        <v>1632411</v>
      </c>
      <c r="R34" s="333">
        <v>970391</v>
      </c>
      <c r="S34" s="333">
        <v>457121</v>
      </c>
      <c r="U34" s="324" t="s">
        <v>198</v>
      </c>
      <c r="V34" s="325" t="s">
        <v>501</v>
      </c>
      <c r="W34" s="326">
        <v>1499644</v>
      </c>
      <c r="X34" s="326">
        <v>1638905</v>
      </c>
      <c r="Y34" s="326">
        <v>1530298</v>
      </c>
      <c r="Z34" s="326">
        <v>158309</v>
      </c>
      <c r="AA34" s="326">
        <v>692871</v>
      </c>
      <c r="AB34" s="326">
        <v>837132</v>
      </c>
      <c r="AC34" s="326">
        <v>710560</v>
      </c>
      <c r="AD34" s="326">
        <v>547619</v>
      </c>
      <c r="AE34" s="327">
        <v>196735</v>
      </c>
      <c r="AF34" s="326">
        <v>157478</v>
      </c>
      <c r="AG34" s="326">
        <v>45343</v>
      </c>
      <c r="AH34" s="328">
        <v>17316</v>
      </c>
      <c r="AI34" s="326">
        <v>203622</v>
      </c>
      <c r="AJ34" s="326">
        <v>157619</v>
      </c>
      <c r="AK34" s="326">
        <v>46615</v>
      </c>
      <c r="AL34" s="326">
        <v>16521</v>
      </c>
      <c r="AM34" s="326">
        <v>416898</v>
      </c>
      <c r="AN34" s="326">
        <v>557938</v>
      </c>
      <c r="AO34" s="326">
        <v>120548</v>
      </c>
      <c r="AP34" s="326">
        <v>63320</v>
      </c>
      <c r="AQ34" s="329">
        <v>345526</v>
      </c>
      <c r="AR34" s="329">
        <v>403278</v>
      </c>
      <c r="AS34" s="329">
        <v>331932</v>
      </c>
      <c r="AT34" s="326">
        <v>272403</v>
      </c>
      <c r="AU34" s="326">
        <v>199120</v>
      </c>
      <c r="AV34" s="326">
        <v>161609</v>
      </c>
      <c r="AW34" s="326">
        <v>109049</v>
      </c>
      <c r="AX34" s="326">
        <v>25011</v>
      </c>
    </row>
    <row r="35" spans="1:50">
      <c r="A35" s="366" t="s">
        <v>235</v>
      </c>
      <c r="B35" s="319" t="s">
        <v>578</v>
      </c>
      <c r="C35" s="310">
        <v>0</v>
      </c>
      <c r="D35" s="320">
        <v>0</v>
      </c>
      <c r="E35" s="320">
        <f t="shared" si="2"/>
        <v>0</v>
      </c>
      <c r="F35" s="322" t="str">
        <f t="shared" si="1"/>
        <v>n.s.</v>
      </c>
      <c r="H35" s="323">
        <v>-11851</v>
      </c>
      <c r="I35" s="323">
        <v>0</v>
      </c>
      <c r="J35" s="323">
        <v>0</v>
      </c>
      <c r="K35" s="323">
        <v>0</v>
      </c>
      <c r="L35" s="320">
        <v>-111684</v>
      </c>
      <c r="M35" s="320">
        <v>-109574</v>
      </c>
      <c r="N35" s="320">
        <v>-109564</v>
      </c>
      <c r="O35" s="320">
        <v>-111822</v>
      </c>
      <c r="P35" s="320">
        <v>-161241</v>
      </c>
      <c r="Q35" s="320">
        <v>-175237</v>
      </c>
      <c r="R35" s="320">
        <v>-49484</v>
      </c>
      <c r="S35" s="320">
        <v>-69530</v>
      </c>
      <c r="U35" s="363" t="s">
        <v>439</v>
      </c>
      <c r="V35" s="270" t="s">
        <v>502</v>
      </c>
      <c r="W35" s="266">
        <v>-25764</v>
      </c>
      <c r="X35" s="266">
        <v>-157370</v>
      </c>
      <c r="Y35" s="266">
        <v>-135324</v>
      </c>
      <c r="Z35" s="266">
        <v>-39579</v>
      </c>
      <c r="AA35" s="266">
        <v>-134222</v>
      </c>
      <c r="AB35" s="266">
        <v>-226049</v>
      </c>
      <c r="AC35" s="266">
        <v>-191732</v>
      </c>
      <c r="AD35" s="266">
        <v>-140830</v>
      </c>
      <c r="AE35" s="316">
        <v>65191</v>
      </c>
      <c r="AF35" s="266">
        <v>60972</v>
      </c>
      <c r="AG35" s="266">
        <v>68021</v>
      </c>
      <c r="AH35" s="317">
        <v>-6582</v>
      </c>
      <c r="AI35" s="266">
        <v>67045</v>
      </c>
      <c r="AJ35" s="266">
        <v>62362</v>
      </c>
      <c r="AK35" s="266">
        <v>68947</v>
      </c>
      <c r="AL35" s="266">
        <v>-6119</v>
      </c>
      <c r="AM35" s="266">
        <v>-22446</v>
      </c>
      <c r="AN35" s="266">
        <v>-19945</v>
      </c>
      <c r="AO35" s="266">
        <v>-11279</v>
      </c>
      <c r="AP35" s="266">
        <v>-12266</v>
      </c>
      <c r="AQ35" s="286">
        <v>100264</v>
      </c>
      <c r="AR35" s="286">
        <v>-23974</v>
      </c>
      <c r="AS35" s="286">
        <v>-9768</v>
      </c>
      <c r="AT35" s="266">
        <v>-6918</v>
      </c>
      <c r="AU35" s="266">
        <v>-22238</v>
      </c>
      <c r="AV35" s="266">
        <v>-13513</v>
      </c>
      <c r="AW35" s="266">
        <v>10183</v>
      </c>
      <c r="AX35" s="266">
        <v>-7743</v>
      </c>
    </row>
    <row r="36" spans="1:50">
      <c r="A36" s="366"/>
      <c r="B36" s="319" t="s">
        <v>592</v>
      </c>
      <c r="C36" s="310">
        <v>-25066</v>
      </c>
      <c r="D36" s="320">
        <v>0</v>
      </c>
      <c r="E36" s="320">
        <f t="shared" si="2"/>
        <v>-25066</v>
      </c>
      <c r="F36" s="322" t="str">
        <f t="shared" si="1"/>
        <v>n.s.</v>
      </c>
      <c r="H36" s="323">
        <v>-288558</v>
      </c>
      <c r="I36" s="323">
        <v>0</v>
      </c>
      <c r="J36" s="323">
        <v>0</v>
      </c>
      <c r="K36" s="323">
        <v>0</v>
      </c>
      <c r="L36" s="320">
        <v>0</v>
      </c>
      <c r="M36" s="320">
        <v>0</v>
      </c>
      <c r="N36" s="320">
        <v>0</v>
      </c>
      <c r="O36" s="320">
        <v>0</v>
      </c>
      <c r="P36" s="320">
        <v>0</v>
      </c>
      <c r="Q36" s="320">
        <v>0</v>
      </c>
      <c r="R36" s="320">
        <v>0</v>
      </c>
      <c r="S36" s="320">
        <v>0</v>
      </c>
      <c r="U36" s="363"/>
      <c r="V36" s="270"/>
      <c r="W36" s="266"/>
      <c r="X36" s="266"/>
      <c r="Y36" s="266"/>
      <c r="Z36" s="266"/>
      <c r="AA36" s="266"/>
      <c r="AB36" s="266"/>
      <c r="AC36" s="266"/>
      <c r="AD36" s="266"/>
      <c r="AE36" s="316"/>
      <c r="AF36" s="266"/>
      <c r="AG36" s="266"/>
      <c r="AH36" s="317"/>
      <c r="AI36" s="266"/>
      <c r="AJ36" s="266"/>
      <c r="AK36" s="266"/>
      <c r="AL36" s="266"/>
      <c r="AM36" s="266"/>
      <c r="AN36" s="266"/>
      <c r="AO36" s="266"/>
      <c r="AP36" s="266"/>
      <c r="AQ36" s="286"/>
      <c r="AR36" s="286"/>
      <c r="AS36" s="286"/>
      <c r="AT36" s="266"/>
      <c r="AU36" s="266"/>
      <c r="AV36" s="266"/>
      <c r="AW36" s="266"/>
      <c r="AX36" s="266"/>
    </row>
    <row r="37" spans="1:50">
      <c r="A37" s="366"/>
      <c r="B37" s="319" t="s">
        <v>593</v>
      </c>
      <c r="C37" s="310">
        <v>-29635</v>
      </c>
      <c r="D37" s="320">
        <v>0</v>
      </c>
      <c r="E37" s="320">
        <f t="shared" si="2"/>
        <v>-29635</v>
      </c>
      <c r="F37" s="322" t="str">
        <f t="shared" si="1"/>
        <v>n.s.</v>
      </c>
      <c r="H37" s="323">
        <v>-181775</v>
      </c>
      <c r="I37" s="323">
        <v>0</v>
      </c>
      <c r="J37" s="323">
        <v>0</v>
      </c>
      <c r="K37" s="323">
        <v>0</v>
      </c>
      <c r="L37" s="320">
        <v>0</v>
      </c>
      <c r="M37" s="320">
        <v>0</v>
      </c>
      <c r="N37" s="320">
        <v>0</v>
      </c>
      <c r="O37" s="320">
        <v>0</v>
      </c>
      <c r="P37" s="320">
        <v>0</v>
      </c>
      <c r="Q37" s="320">
        <v>0</v>
      </c>
      <c r="R37" s="320">
        <v>0</v>
      </c>
      <c r="S37" s="320">
        <v>0</v>
      </c>
      <c r="U37" s="363"/>
      <c r="V37" s="270"/>
      <c r="W37" s="266"/>
      <c r="X37" s="266"/>
      <c r="Y37" s="266"/>
      <c r="Z37" s="266"/>
      <c r="AA37" s="266"/>
      <c r="AB37" s="266"/>
      <c r="AC37" s="266"/>
      <c r="AD37" s="266"/>
      <c r="AE37" s="316"/>
      <c r="AF37" s="266"/>
      <c r="AG37" s="266"/>
      <c r="AH37" s="317"/>
      <c r="AI37" s="266"/>
      <c r="AJ37" s="266"/>
      <c r="AK37" s="266"/>
      <c r="AL37" s="266"/>
      <c r="AM37" s="266"/>
      <c r="AN37" s="266"/>
      <c r="AO37" s="266"/>
      <c r="AP37" s="266"/>
      <c r="AQ37" s="286"/>
      <c r="AR37" s="286"/>
      <c r="AS37" s="286"/>
      <c r="AT37" s="266"/>
      <c r="AU37" s="266"/>
      <c r="AV37" s="266"/>
      <c r="AW37" s="266"/>
      <c r="AX37" s="266"/>
    </row>
    <row r="38" spans="1:50">
      <c r="A38" s="368"/>
      <c r="B38" s="331" t="s">
        <v>543</v>
      </c>
      <c r="C38" s="369">
        <v>830559</v>
      </c>
      <c r="D38" s="370">
        <v>673815</v>
      </c>
      <c r="E38" s="370">
        <f t="shared" si="2"/>
        <v>156744</v>
      </c>
      <c r="F38" s="371">
        <f t="shared" si="1"/>
        <v>23.26</v>
      </c>
      <c r="H38" s="372">
        <v>2713947</v>
      </c>
      <c r="I38" s="372">
        <v>2250608</v>
      </c>
      <c r="J38" s="372">
        <v>1368677</v>
      </c>
      <c r="K38" s="372">
        <v>673815</v>
      </c>
      <c r="L38" s="370">
        <v>2053980</v>
      </c>
      <c r="M38" s="370">
        <v>1668652</v>
      </c>
      <c r="N38" s="370">
        <v>1043989</v>
      </c>
      <c r="O38" s="370">
        <v>611281</v>
      </c>
      <c r="P38" s="370">
        <v>1724643</v>
      </c>
      <c r="Q38" s="370">
        <v>1457174</v>
      </c>
      <c r="R38" s="370">
        <v>920907</v>
      </c>
      <c r="S38" s="370">
        <v>387591</v>
      </c>
      <c r="U38" s="362" t="s">
        <v>201</v>
      </c>
      <c r="V38" s="325" t="s">
        <v>540</v>
      </c>
      <c r="W38" s="326">
        <v>1473880</v>
      </c>
      <c r="X38" s="326">
        <v>1481535</v>
      </c>
      <c r="Y38" s="326">
        <v>1394974</v>
      </c>
      <c r="Z38" s="326">
        <v>118730</v>
      </c>
      <c r="AA38" s="326">
        <v>558649</v>
      </c>
      <c r="AB38" s="326">
        <v>611083</v>
      </c>
      <c r="AC38" s="326">
        <v>518828</v>
      </c>
      <c r="AD38" s="326">
        <v>406789</v>
      </c>
      <c r="AE38" s="327">
        <v>261926</v>
      </c>
      <c r="AF38" s="326">
        <v>218450</v>
      </c>
      <c r="AG38" s="326">
        <v>113364</v>
      </c>
      <c r="AH38" s="328">
        <v>10734</v>
      </c>
      <c r="AI38" s="326">
        <v>270667</v>
      </c>
      <c r="AJ38" s="326">
        <v>219981</v>
      </c>
      <c r="AK38" s="326">
        <v>115562</v>
      </c>
      <c r="AL38" s="326">
        <v>10402</v>
      </c>
      <c r="AM38" s="326">
        <v>394452</v>
      </c>
      <c r="AN38" s="326">
        <v>537993</v>
      </c>
      <c r="AO38" s="326">
        <v>109269</v>
      </c>
      <c r="AP38" s="326">
        <v>51054</v>
      </c>
      <c r="AQ38" s="329">
        <v>445790</v>
      </c>
      <c r="AR38" s="329">
        <v>379304</v>
      </c>
      <c r="AS38" s="329">
        <v>322164</v>
      </c>
      <c r="AT38" s="326">
        <v>265485</v>
      </c>
      <c r="AU38" s="326">
        <v>176882</v>
      </c>
      <c r="AV38" s="326">
        <v>148096</v>
      </c>
      <c r="AW38" s="326">
        <v>119232</v>
      </c>
      <c r="AX38" s="326">
        <v>17268</v>
      </c>
    </row>
    <row r="39" spans="1:50">
      <c r="A39" s="308" t="s">
        <v>439</v>
      </c>
      <c r="B39" s="309" t="s">
        <v>502</v>
      </c>
      <c r="C39" s="337">
        <v>-283496</v>
      </c>
      <c r="D39" s="311">
        <v>-222360</v>
      </c>
      <c r="E39" s="312">
        <f>C39-D39</f>
        <v>-61136</v>
      </c>
      <c r="F39" s="313">
        <f>IF(D39=0,"n.s.",IF(E39=0,"-",IF(ABS(E39/D39*100)&gt;=1000,"--",ROUND(E39/D39*100,2))))</f>
        <v>27.49</v>
      </c>
      <c r="H39" s="314">
        <v>-839335</v>
      </c>
      <c r="I39" s="314">
        <v>-722026</v>
      </c>
      <c r="J39" s="314">
        <v>-448588</v>
      </c>
      <c r="K39" s="314">
        <v>-222360</v>
      </c>
      <c r="L39" s="311">
        <v>-615470</v>
      </c>
      <c r="M39" s="311">
        <v>-502704</v>
      </c>
      <c r="N39" s="311">
        <v>-302812</v>
      </c>
      <c r="O39" s="311">
        <v>-145029</v>
      </c>
      <c r="P39" s="311">
        <v>-172874</v>
      </c>
      <c r="Q39" s="311">
        <v>-347364</v>
      </c>
      <c r="R39" s="311">
        <v>-201396</v>
      </c>
      <c r="S39" s="311">
        <v>-88249</v>
      </c>
      <c r="U39" s="367" t="s">
        <v>202</v>
      </c>
      <c r="V39" s="264" t="s">
        <v>349</v>
      </c>
      <c r="W39" s="266">
        <v>-24905</v>
      </c>
      <c r="X39" s="266">
        <v>-15159</v>
      </c>
      <c r="Y39" s="266">
        <v>-10166</v>
      </c>
      <c r="Z39" s="266">
        <v>-6058</v>
      </c>
      <c r="AA39" s="266">
        <v>-33526</v>
      </c>
      <c r="AB39" s="266">
        <v>-24860</v>
      </c>
      <c r="AC39" s="266">
        <v>-17020</v>
      </c>
      <c r="AD39" s="266">
        <v>-6523</v>
      </c>
      <c r="AE39" s="316">
        <v>-25001</v>
      </c>
      <c r="AF39" s="266">
        <v>-19352</v>
      </c>
      <c r="AG39" s="266">
        <v>-10868</v>
      </c>
      <c r="AH39" s="317">
        <v>-4325</v>
      </c>
      <c r="AI39" s="266">
        <v>-25017</v>
      </c>
      <c r="AJ39" s="266">
        <v>-19362</v>
      </c>
      <c r="AK39" s="266">
        <v>-10883</v>
      </c>
      <c r="AL39" s="266">
        <v>-4320</v>
      </c>
      <c r="AM39" s="266">
        <v>-14869</v>
      </c>
      <c r="AN39" s="266">
        <v>-15068</v>
      </c>
      <c r="AO39" s="266">
        <v>-8777</v>
      </c>
      <c r="AP39" s="266">
        <v>-3083</v>
      </c>
      <c r="AQ39" s="286">
        <v>-43837</v>
      </c>
      <c r="AR39" s="286">
        <v>-21178</v>
      </c>
      <c r="AS39" s="286">
        <v>-14279</v>
      </c>
      <c r="AT39" s="266">
        <v>-14462</v>
      </c>
      <c r="AU39" s="266">
        <v>-444</v>
      </c>
      <c r="AV39" s="266">
        <v>862</v>
      </c>
      <c r="AW39" s="266">
        <v>-170</v>
      </c>
      <c r="AX39" s="266">
        <v>-2710</v>
      </c>
    </row>
    <row r="40" spans="1:50">
      <c r="A40" s="318"/>
      <c r="B40" s="319" t="s">
        <v>347</v>
      </c>
      <c r="C40" s="310">
        <v>0</v>
      </c>
      <c r="D40" s="320">
        <v>0</v>
      </c>
      <c r="E40" s="321">
        <f>C40-D40</f>
        <v>0</v>
      </c>
      <c r="F40" s="322" t="str">
        <f>IF(D40=0,"n.s.",IF(E40=0,"-",IF(ABS(E40/D40*100)&gt;=1000,"--",ROUND(E40/D40*100,2))))</f>
        <v>n.s.</v>
      </c>
      <c r="H40" s="323">
        <v>5854</v>
      </c>
      <c r="I40" s="323">
        <v>5854</v>
      </c>
      <c r="J40" s="323">
        <v>0</v>
      </c>
      <c r="K40" s="323"/>
      <c r="L40" s="320"/>
      <c r="M40" s="320"/>
      <c r="N40" s="320"/>
      <c r="O40" s="320"/>
      <c r="P40" s="320"/>
      <c r="Q40" s="320"/>
      <c r="R40" s="320"/>
      <c r="S40" s="320"/>
      <c r="U40" s="367"/>
      <c r="V40" s="264"/>
      <c r="W40" s="266"/>
      <c r="X40" s="266"/>
      <c r="Y40" s="266"/>
      <c r="Z40" s="266"/>
      <c r="AA40" s="266"/>
      <c r="AB40" s="266"/>
      <c r="AC40" s="266"/>
      <c r="AD40" s="266"/>
      <c r="AE40" s="316"/>
      <c r="AF40" s="266"/>
      <c r="AG40" s="266"/>
      <c r="AH40" s="317"/>
      <c r="AI40" s="266"/>
      <c r="AJ40" s="266"/>
      <c r="AK40" s="266"/>
      <c r="AL40" s="266"/>
      <c r="AM40" s="266"/>
      <c r="AN40" s="266"/>
      <c r="AO40" s="266"/>
      <c r="AP40" s="266"/>
      <c r="AQ40" s="286"/>
      <c r="AR40" s="286"/>
      <c r="AS40" s="286"/>
      <c r="AT40" s="266"/>
      <c r="AU40" s="266"/>
      <c r="AV40" s="266"/>
      <c r="AW40" s="266"/>
      <c r="AX40" s="266"/>
    </row>
    <row r="41" spans="1:50">
      <c r="A41" s="330">
        <v>330</v>
      </c>
      <c r="B41" s="331" t="s">
        <v>540</v>
      </c>
      <c r="C41" s="332">
        <v>547063</v>
      </c>
      <c r="D41" s="333">
        <v>451455</v>
      </c>
      <c r="E41" s="334">
        <f t="shared" si="2"/>
        <v>95608</v>
      </c>
      <c r="F41" s="335">
        <f t="shared" si="1"/>
        <v>21.18</v>
      </c>
      <c r="H41" s="336">
        <v>1880466</v>
      </c>
      <c r="I41" s="336">
        <v>1534436</v>
      </c>
      <c r="J41" s="336">
        <v>920089</v>
      </c>
      <c r="K41" s="336">
        <v>451455</v>
      </c>
      <c r="L41" s="333">
        <v>1438510</v>
      </c>
      <c r="M41" s="333">
        <v>1165948</v>
      </c>
      <c r="N41" s="333">
        <v>741177</v>
      </c>
      <c r="O41" s="333">
        <v>466252</v>
      </c>
      <c r="P41" s="333">
        <v>1551769</v>
      </c>
      <c r="Q41" s="333">
        <v>1109810</v>
      </c>
      <c r="R41" s="333">
        <v>719511</v>
      </c>
      <c r="S41" s="333">
        <v>299342</v>
      </c>
      <c r="U41" s="373" t="s">
        <v>561</v>
      </c>
      <c r="V41" s="374" t="s">
        <v>224</v>
      </c>
      <c r="W41" s="326">
        <v>1448975</v>
      </c>
      <c r="X41" s="326">
        <v>1466376</v>
      </c>
      <c r="Y41" s="326">
        <v>1384808</v>
      </c>
      <c r="Z41" s="326">
        <v>112672</v>
      </c>
      <c r="AA41" s="326">
        <v>525123</v>
      </c>
      <c r="AB41" s="326">
        <v>586223</v>
      </c>
      <c r="AC41" s="326">
        <v>501808</v>
      </c>
      <c r="AD41" s="326">
        <v>400266</v>
      </c>
      <c r="AE41" s="327">
        <v>236925</v>
      </c>
      <c r="AF41" s="326">
        <v>199098</v>
      </c>
      <c r="AG41" s="326">
        <v>102496</v>
      </c>
      <c r="AH41" s="328">
        <v>6409</v>
      </c>
      <c r="AI41" s="326">
        <v>245650</v>
      </c>
      <c r="AJ41" s="326">
        <v>200619</v>
      </c>
      <c r="AK41" s="326">
        <v>104679</v>
      </c>
      <c r="AL41" s="326">
        <v>6082</v>
      </c>
      <c r="AM41" s="326">
        <v>379583</v>
      </c>
      <c r="AN41" s="326">
        <v>522925</v>
      </c>
      <c r="AO41" s="326">
        <v>100492</v>
      </c>
      <c r="AP41" s="326">
        <v>47971</v>
      </c>
      <c r="AQ41" s="329">
        <v>401953</v>
      </c>
      <c r="AR41" s="329">
        <v>358126</v>
      </c>
      <c r="AS41" s="329">
        <v>307702</v>
      </c>
      <c r="AT41" s="326">
        <v>251023</v>
      </c>
      <c r="AU41" s="326">
        <v>176438</v>
      </c>
      <c r="AV41" s="326">
        <v>148958</v>
      </c>
      <c r="AW41" s="326">
        <v>119062</v>
      </c>
      <c r="AX41" s="326">
        <v>14558</v>
      </c>
    </row>
    <row r="42" spans="1:50">
      <c r="A42" s="308" t="s">
        <v>202</v>
      </c>
      <c r="B42" s="309" t="s">
        <v>349</v>
      </c>
      <c r="C42" s="337">
        <v>-28518</v>
      </c>
      <c r="D42" s="311">
        <v>-8529</v>
      </c>
      <c r="E42" s="312">
        <f t="shared" si="2"/>
        <v>-19989</v>
      </c>
      <c r="F42" s="313">
        <f t="shared" si="1"/>
        <v>234.37</v>
      </c>
      <c r="H42" s="314">
        <v>-62019</v>
      </c>
      <c r="I42" s="314">
        <v>-55875</v>
      </c>
      <c r="J42" s="314">
        <v>-16620</v>
      </c>
      <c r="K42" s="314">
        <v>-8529</v>
      </c>
      <c r="L42" s="311">
        <v>-35861</v>
      </c>
      <c r="M42" s="311">
        <v>-28913</v>
      </c>
      <c r="N42" s="311">
        <v>-17005</v>
      </c>
      <c r="O42" s="311">
        <v>-8976</v>
      </c>
      <c r="P42" s="311">
        <v>-32273</v>
      </c>
      <c r="Q42" s="311">
        <v>-22740</v>
      </c>
      <c r="R42" s="311">
        <v>-14960</v>
      </c>
      <c r="S42" s="311">
        <v>-8667</v>
      </c>
    </row>
    <row r="43" spans="1:50">
      <c r="A43" s="330">
        <v>350</v>
      </c>
      <c r="B43" s="331" t="s">
        <v>224</v>
      </c>
      <c r="C43" s="332">
        <v>518545</v>
      </c>
      <c r="D43" s="333">
        <v>442926</v>
      </c>
      <c r="E43" s="334">
        <f t="shared" si="2"/>
        <v>75619</v>
      </c>
      <c r="F43" s="335">
        <f t="shared" si="1"/>
        <v>17.07</v>
      </c>
      <c r="H43" s="336">
        <v>1818447</v>
      </c>
      <c r="I43" s="336">
        <v>1478561</v>
      </c>
      <c r="J43" s="336">
        <v>903469</v>
      </c>
      <c r="K43" s="336">
        <v>442926</v>
      </c>
      <c r="L43" s="333">
        <v>1402649</v>
      </c>
      <c r="M43" s="333">
        <v>1137035</v>
      </c>
      <c r="N43" s="333">
        <v>724172</v>
      </c>
      <c r="O43" s="333">
        <v>457276</v>
      </c>
      <c r="P43" s="333">
        <v>1519496</v>
      </c>
      <c r="Q43" s="333">
        <v>1087070</v>
      </c>
      <c r="R43" s="333">
        <v>704551</v>
      </c>
      <c r="S43" s="333">
        <v>290675</v>
      </c>
    </row>
    <row r="44" spans="1:50">
      <c r="B44" s="375"/>
      <c r="C44" s="375"/>
      <c r="D44" s="375"/>
      <c r="E44" s="375"/>
      <c r="F44" s="375"/>
      <c r="I44" s="375"/>
      <c r="L44" s="375"/>
      <c r="M44" s="375"/>
    </row>
    <row r="45" spans="1:50">
      <c r="B45" s="375"/>
      <c r="C45" s="375"/>
      <c r="D45" s="375"/>
      <c r="E45" s="375"/>
      <c r="F45" s="375"/>
      <c r="I45" s="375"/>
      <c r="L45" s="375"/>
      <c r="M45" s="375"/>
    </row>
    <row r="46" spans="1:50" ht="12.75" customHeight="1">
      <c r="B46" s="375"/>
      <c r="C46" s="375"/>
      <c r="D46" s="375"/>
      <c r="E46" s="375"/>
      <c r="F46" s="375"/>
      <c r="G46" s="376"/>
      <c r="H46" s="376"/>
      <c r="I46" s="375"/>
      <c r="L46" s="376"/>
      <c r="M46" s="376"/>
      <c r="N46" s="376"/>
      <c r="O46" s="376"/>
      <c r="P46" s="376"/>
      <c r="Q46" s="376"/>
      <c r="R46" s="376"/>
    </row>
    <row r="47" spans="1:50">
      <c r="B47" s="375"/>
      <c r="C47" s="375"/>
      <c r="D47" s="375"/>
      <c r="E47" s="375"/>
      <c r="F47" s="375"/>
      <c r="I47" s="375"/>
    </row>
    <row r="48" spans="1:50">
      <c r="B48" s="375"/>
      <c r="C48" s="375"/>
      <c r="D48" s="375"/>
      <c r="E48" s="375"/>
      <c r="F48" s="375"/>
      <c r="I48" s="375"/>
    </row>
  </sheetData>
  <mergeCells count="2">
    <mergeCell ref="A12:B12"/>
    <mergeCell ref="U12:V1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8:BH46"/>
  <sheetViews>
    <sheetView zoomScale="90" zoomScaleNormal="90" workbookViewId="0">
      <selection activeCell="C12" sqref="C12:C43"/>
    </sheetView>
  </sheetViews>
  <sheetFormatPr defaultColWidth="52" defaultRowHeight="12.75" outlineLevelRow="1" outlineLevelCol="1"/>
  <cols>
    <col min="1" max="1" width="15" style="256" customWidth="1"/>
    <col min="2" max="2" width="77.7109375" style="256" customWidth="1"/>
    <col min="3" max="3" width="12.28515625" style="256" customWidth="1"/>
    <col min="4" max="7" width="10.42578125" style="256" customWidth="1"/>
    <col min="8" max="8" width="11.28515625" style="256" bestFit="1" customWidth="1"/>
    <col min="9" max="9" width="11.28515625" style="256" customWidth="1"/>
    <col min="10" max="10" width="13.7109375" style="256" customWidth="1"/>
    <col min="11" max="11" width="11.28515625" style="256" customWidth="1"/>
    <col min="12" max="15" width="13.5703125" style="256" customWidth="1"/>
    <col min="16" max="16" width="52" style="256"/>
    <col min="17" max="18" width="0" style="256" hidden="1" customWidth="1" outlineLevel="1"/>
    <col min="19" max="19" width="15.85546875" style="256" hidden="1" customWidth="1" outlineLevel="1"/>
    <col min="20" max="22" width="16.140625" style="256" hidden="1" customWidth="1" outlineLevel="1"/>
    <col min="23" max="23" width="15.5703125" style="256" hidden="1" customWidth="1" outlineLevel="1"/>
    <col min="24" max="27" width="15.85546875" style="256" hidden="1" customWidth="1" outlineLevel="1"/>
    <col min="28" max="30" width="16.140625" style="256" hidden="1" customWidth="1" outlineLevel="1"/>
    <col min="31" max="31" width="15.85546875" style="256" hidden="1" customWidth="1" outlineLevel="1"/>
    <col min="32" max="34" width="16.140625" style="256" hidden="1" customWidth="1" outlineLevel="1"/>
    <col min="35" max="35" width="15.5703125" style="256" hidden="1" customWidth="1" outlineLevel="1"/>
    <col min="36" max="38" width="15.85546875" style="256" hidden="1" customWidth="1" outlineLevel="1"/>
    <col min="39" max="39" width="15.5703125" style="256" hidden="1" customWidth="1" outlineLevel="1"/>
    <col min="40" max="42" width="15.85546875" style="256" hidden="1" customWidth="1" outlineLevel="1"/>
    <col min="43" max="43" width="15.5703125" style="256" hidden="1" customWidth="1" outlineLevel="1"/>
    <col min="44" max="46" width="15.85546875" style="256" hidden="1" customWidth="1" outlineLevel="1"/>
    <col min="47" max="59" width="0" style="256" hidden="1" customWidth="1" outlineLevel="1"/>
    <col min="60" max="60" width="52" style="256" collapsed="1"/>
    <col min="61" max="16384" width="52" style="256"/>
  </cols>
  <sheetData>
    <row r="8" spans="1:46">
      <c r="A8" s="255" t="s">
        <v>460</v>
      </c>
    </row>
    <row r="11" spans="1:46" ht="13.5" thickBot="1"/>
    <row r="12" spans="1:46" ht="49.5" customHeight="1" thickBot="1">
      <c r="A12" s="377" t="s">
        <v>187</v>
      </c>
      <c r="B12" s="377"/>
      <c r="C12" s="299" t="s">
        <v>598</v>
      </c>
      <c r="D12" s="262" t="s">
        <v>580</v>
      </c>
      <c r="E12" s="262" t="s">
        <v>583</v>
      </c>
      <c r="F12" s="262" t="s">
        <v>594</v>
      </c>
      <c r="G12" s="262" t="s">
        <v>595</v>
      </c>
      <c r="H12" s="262" t="s">
        <v>550</v>
      </c>
      <c r="I12" s="262" t="s">
        <v>551</v>
      </c>
      <c r="J12" s="262" t="s">
        <v>552</v>
      </c>
      <c r="K12" s="262" t="s">
        <v>553</v>
      </c>
      <c r="L12" s="262" t="s">
        <v>554</v>
      </c>
      <c r="M12" s="262" t="s">
        <v>555</v>
      </c>
      <c r="N12" s="262" t="s">
        <v>556</v>
      </c>
      <c r="O12" s="262" t="s">
        <v>557</v>
      </c>
      <c r="Q12" s="303" t="s">
        <v>187</v>
      </c>
      <c r="R12" s="303">
        <f>$AN$69</f>
        <v>0</v>
      </c>
      <c r="S12" s="304" t="s">
        <v>562</v>
      </c>
      <c r="T12" s="304" t="s">
        <v>563</v>
      </c>
      <c r="U12" s="304" t="s">
        <v>564</v>
      </c>
      <c r="V12" s="304" t="s">
        <v>565</v>
      </c>
      <c r="W12" s="304" t="s">
        <v>566</v>
      </c>
      <c r="X12" s="304" t="s">
        <v>567</v>
      </c>
      <c r="Y12" s="304" t="s">
        <v>568</v>
      </c>
      <c r="Z12" s="304" t="s">
        <v>569</v>
      </c>
      <c r="AA12" s="305" t="s">
        <v>570</v>
      </c>
      <c r="AB12" s="304" t="s">
        <v>494</v>
      </c>
      <c r="AC12" s="304" t="s">
        <v>503</v>
      </c>
      <c r="AD12" s="306" t="s">
        <v>505</v>
      </c>
      <c r="AE12" s="304" t="s">
        <v>570</v>
      </c>
      <c r="AF12" s="304" t="s">
        <v>494</v>
      </c>
      <c r="AG12" s="304" t="s">
        <v>503</v>
      </c>
      <c r="AH12" s="304" t="s">
        <v>505</v>
      </c>
      <c r="AI12" s="304" t="s">
        <v>571</v>
      </c>
      <c r="AJ12" s="304" t="s">
        <v>485</v>
      </c>
      <c r="AK12" s="304" t="s">
        <v>488</v>
      </c>
      <c r="AL12" s="304" t="s">
        <v>491</v>
      </c>
      <c r="AM12" s="304" t="s">
        <v>572</v>
      </c>
      <c r="AN12" s="304" t="s">
        <v>352</v>
      </c>
      <c r="AO12" s="304" t="s">
        <v>466</v>
      </c>
      <c r="AP12" s="304" t="s">
        <v>480</v>
      </c>
      <c r="AQ12" s="304" t="s">
        <v>429</v>
      </c>
      <c r="AR12" s="304" t="s">
        <v>300</v>
      </c>
      <c r="AS12" s="304" t="s">
        <v>303</v>
      </c>
      <c r="AT12" s="304" t="s">
        <v>307</v>
      </c>
    </row>
    <row r="13" spans="1:46">
      <c r="A13" s="378" t="s">
        <v>188</v>
      </c>
      <c r="B13" s="379" t="s">
        <v>68</v>
      </c>
      <c r="C13" s="310">
        <v>1087518</v>
      </c>
      <c r="D13" s="380">
        <v>811876</v>
      </c>
      <c r="E13" s="380">
        <v>814142</v>
      </c>
      <c r="F13" s="380">
        <v>1078269</v>
      </c>
      <c r="G13" s="380">
        <v>1110956</v>
      </c>
      <c r="H13" s="380">
        <v>843620</v>
      </c>
      <c r="I13" s="380">
        <v>838852</v>
      </c>
      <c r="J13" s="380">
        <v>840753</v>
      </c>
      <c r="K13" s="380">
        <v>853651</v>
      </c>
      <c r="L13" s="380">
        <v>725989</v>
      </c>
      <c r="M13" s="380">
        <v>818980</v>
      </c>
      <c r="N13" s="380">
        <v>836548</v>
      </c>
      <c r="O13" s="380">
        <v>870300</v>
      </c>
      <c r="Q13" s="315" t="s">
        <v>188</v>
      </c>
      <c r="R13" s="264" t="s">
        <v>68</v>
      </c>
      <c r="S13" s="266">
        <v>376429</v>
      </c>
      <c r="T13" s="266">
        <v>409020</v>
      </c>
      <c r="U13" s="266">
        <v>474981</v>
      </c>
      <c r="V13" s="266">
        <v>565463</v>
      </c>
      <c r="W13" s="266">
        <v>343513</v>
      </c>
      <c r="X13" s="266">
        <v>384809</v>
      </c>
      <c r="Y13" s="266">
        <v>391097</v>
      </c>
      <c r="Z13" s="266">
        <v>385943</v>
      </c>
      <c r="AA13" s="316">
        <v>307971</v>
      </c>
      <c r="AB13" s="266">
        <v>310280</v>
      </c>
      <c r="AC13" s="266">
        <v>325492</v>
      </c>
      <c r="AD13" s="317">
        <v>295133</v>
      </c>
      <c r="AE13" s="266">
        <v>307971</v>
      </c>
      <c r="AF13" s="266">
        <v>310280</v>
      </c>
      <c r="AG13" s="266">
        <v>325492</v>
      </c>
      <c r="AH13" s="266">
        <v>295133</v>
      </c>
      <c r="AI13" s="266">
        <v>273896</v>
      </c>
      <c r="AJ13" s="266">
        <v>272288</v>
      </c>
      <c r="AK13" s="266">
        <v>315909</v>
      </c>
      <c r="AL13" s="266">
        <v>302446</v>
      </c>
      <c r="AM13" s="266">
        <v>293234</v>
      </c>
      <c r="AN13" s="266">
        <v>280268</v>
      </c>
      <c r="AO13" s="266">
        <v>276590</v>
      </c>
      <c r="AP13" s="266">
        <v>272345</v>
      </c>
      <c r="AQ13" s="266">
        <v>288114</v>
      </c>
      <c r="AR13" s="266">
        <v>282005</v>
      </c>
      <c r="AS13" s="266">
        <v>280218</v>
      </c>
      <c r="AT13" s="266">
        <v>274142</v>
      </c>
    </row>
    <row r="14" spans="1:46">
      <c r="A14" s="315" t="s">
        <v>189</v>
      </c>
      <c r="B14" s="264" t="s">
        <v>71</v>
      </c>
      <c r="C14" s="310">
        <v>680888</v>
      </c>
      <c r="D14" s="266">
        <v>541116</v>
      </c>
      <c r="E14" s="266">
        <v>522368</v>
      </c>
      <c r="F14" s="266">
        <v>646224</v>
      </c>
      <c r="G14" s="266">
        <v>695679</v>
      </c>
      <c r="H14" s="266">
        <v>498723</v>
      </c>
      <c r="I14" s="266">
        <v>516015</v>
      </c>
      <c r="J14" s="266">
        <v>487942</v>
      </c>
      <c r="K14" s="266">
        <v>555755</v>
      </c>
      <c r="L14" s="266">
        <v>496246</v>
      </c>
      <c r="M14" s="266">
        <v>479612</v>
      </c>
      <c r="N14" s="266">
        <v>476250</v>
      </c>
      <c r="O14" s="266">
        <v>517178</v>
      </c>
      <c r="Q14" s="315" t="s">
        <v>189</v>
      </c>
      <c r="R14" s="264" t="s">
        <v>71</v>
      </c>
      <c r="S14" s="266">
        <v>450559</v>
      </c>
      <c r="T14" s="266">
        <v>463410</v>
      </c>
      <c r="U14" s="266">
        <v>504045</v>
      </c>
      <c r="V14" s="266">
        <v>524066</v>
      </c>
      <c r="W14" s="266">
        <v>328132</v>
      </c>
      <c r="X14" s="266">
        <v>405826</v>
      </c>
      <c r="Y14" s="266">
        <v>438451</v>
      </c>
      <c r="Z14" s="266">
        <v>469166</v>
      </c>
      <c r="AA14" s="316">
        <v>267595</v>
      </c>
      <c r="AB14" s="266">
        <v>245102</v>
      </c>
      <c r="AC14" s="266">
        <v>262127</v>
      </c>
      <c r="AD14" s="317">
        <v>297690</v>
      </c>
      <c r="AE14" s="266">
        <v>267595</v>
      </c>
      <c r="AF14" s="266">
        <v>245102</v>
      </c>
      <c r="AG14" s="266">
        <v>262127</v>
      </c>
      <c r="AH14" s="266">
        <v>297690</v>
      </c>
      <c r="AI14" s="266">
        <v>192544</v>
      </c>
      <c r="AJ14" s="266">
        <v>195210</v>
      </c>
      <c r="AK14" s="266">
        <v>268316</v>
      </c>
      <c r="AL14" s="266">
        <v>275880</v>
      </c>
      <c r="AM14" s="266">
        <v>198120</v>
      </c>
      <c r="AN14" s="266">
        <v>190936</v>
      </c>
      <c r="AO14" s="286">
        <v>188025</v>
      </c>
      <c r="AP14" s="286">
        <v>199184</v>
      </c>
      <c r="AQ14" s="266">
        <v>177373</v>
      </c>
      <c r="AR14" s="266">
        <v>181851</v>
      </c>
      <c r="AS14" s="266">
        <v>184802</v>
      </c>
      <c r="AT14" s="266">
        <v>196602</v>
      </c>
    </row>
    <row r="15" spans="1:46">
      <c r="A15" s="315" t="s">
        <v>190</v>
      </c>
      <c r="B15" s="264" t="s">
        <v>205</v>
      </c>
      <c r="C15" s="310">
        <v>12469</v>
      </c>
      <c r="D15" s="266">
        <v>3290</v>
      </c>
      <c r="E15" s="266">
        <v>39733</v>
      </c>
      <c r="F15" s="266">
        <v>11133</v>
      </c>
      <c r="G15" s="266">
        <v>8608</v>
      </c>
      <c r="H15" s="266">
        <v>4882</v>
      </c>
      <c r="I15" s="266">
        <v>32211</v>
      </c>
      <c r="J15" s="266">
        <v>3303</v>
      </c>
      <c r="K15" s="266">
        <v>1425</v>
      </c>
      <c r="L15" s="266">
        <v>2223</v>
      </c>
      <c r="M15" s="266">
        <v>22912</v>
      </c>
      <c r="N15" s="266">
        <v>4810</v>
      </c>
      <c r="O15" s="266">
        <v>939</v>
      </c>
      <c r="Q15" s="315" t="s">
        <v>190</v>
      </c>
      <c r="R15" s="264" t="s">
        <v>205</v>
      </c>
      <c r="S15" s="266">
        <v>286</v>
      </c>
      <c r="T15" s="266">
        <v>15597</v>
      </c>
      <c r="U15" s="266">
        <v>3309</v>
      </c>
      <c r="V15" s="266">
        <v>2932</v>
      </c>
      <c r="W15" s="266">
        <v>1678</v>
      </c>
      <c r="X15" s="266">
        <v>12269</v>
      </c>
      <c r="Y15" s="266">
        <v>677</v>
      </c>
      <c r="Z15" s="266">
        <v>5460</v>
      </c>
      <c r="AA15" s="316">
        <v>809</v>
      </c>
      <c r="AB15" s="266">
        <v>12034</v>
      </c>
      <c r="AC15" s="266">
        <v>4550</v>
      </c>
      <c r="AD15" s="317">
        <v>1099</v>
      </c>
      <c r="AE15" s="266">
        <v>809</v>
      </c>
      <c r="AF15" s="266">
        <v>12034</v>
      </c>
      <c r="AG15" s="266">
        <v>4550</v>
      </c>
      <c r="AH15" s="266">
        <v>1099</v>
      </c>
      <c r="AI15" s="266">
        <v>539</v>
      </c>
      <c r="AJ15" s="266">
        <v>9687</v>
      </c>
      <c r="AK15" s="266">
        <v>3424</v>
      </c>
      <c r="AL15" s="266">
        <v>451</v>
      </c>
      <c r="AM15" s="266">
        <v>584</v>
      </c>
      <c r="AN15" s="266">
        <v>12877</v>
      </c>
      <c r="AO15" s="286">
        <v>325</v>
      </c>
      <c r="AP15" s="286">
        <v>20553</v>
      </c>
      <c r="AQ15" s="266">
        <v>312</v>
      </c>
      <c r="AR15" s="266">
        <v>10812</v>
      </c>
      <c r="AS15" s="266">
        <v>507</v>
      </c>
      <c r="AT15" s="266">
        <v>785</v>
      </c>
    </row>
    <row r="16" spans="1:46">
      <c r="A16" s="315"/>
      <c r="B16" s="264" t="s">
        <v>542</v>
      </c>
      <c r="C16" s="310">
        <v>9375</v>
      </c>
      <c r="D16" s="266">
        <v>5296</v>
      </c>
      <c r="E16" s="266">
        <v>6997</v>
      </c>
      <c r="F16" s="266">
        <v>15170</v>
      </c>
      <c r="G16" s="266">
        <v>16450</v>
      </c>
      <c r="H16" s="266">
        <v>-4118</v>
      </c>
      <c r="I16" s="266">
        <v>2847</v>
      </c>
      <c r="J16" s="266">
        <v>3997</v>
      </c>
      <c r="K16" s="266">
        <v>-15087</v>
      </c>
      <c r="L16" s="266">
        <v>11546</v>
      </c>
      <c r="M16" s="266">
        <v>5131</v>
      </c>
      <c r="N16" s="266">
        <v>426</v>
      </c>
      <c r="O16" s="266">
        <v>6853</v>
      </c>
      <c r="Q16" s="315" t="s">
        <v>191</v>
      </c>
      <c r="R16" s="264" t="s">
        <v>206</v>
      </c>
      <c r="S16" s="266">
        <v>58939</v>
      </c>
      <c r="T16" s="266">
        <v>25457</v>
      </c>
      <c r="U16" s="266">
        <v>32351</v>
      </c>
      <c r="V16" s="266">
        <v>22975</v>
      </c>
      <c r="W16" s="266">
        <v>76241</v>
      </c>
      <c r="X16" s="266">
        <v>43471</v>
      </c>
      <c r="Y16" s="266">
        <v>52898</v>
      </c>
      <c r="Z16" s="266">
        <v>23621</v>
      </c>
      <c r="AA16" s="316">
        <v>5642</v>
      </c>
      <c r="AB16" s="266">
        <v>46832</v>
      </c>
      <c r="AC16" s="266">
        <v>43115</v>
      </c>
      <c r="AD16" s="317">
        <v>42576</v>
      </c>
      <c r="AE16" s="266">
        <v>5642</v>
      </c>
      <c r="AF16" s="266">
        <v>46832</v>
      </c>
      <c r="AG16" s="266">
        <v>43115</v>
      </c>
      <c r="AH16" s="266">
        <v>42576</v>
      </c>
      <c r="AI16" s="266">
        <v>22062</v>
      </c>
      <c r="AJ16" s="266">
        <v>5403</v>
      </c>
      <c r="AK16" s="266">
        <v>49721</v>
      </c>
      <c r="AL16" s="266">
        <v>36807</v>
      </c>
      <c r="AM16" s="266">
        <v>153634</v>
      </c>
      <c r="AN16" s="266">
        <v>16431</v>
      </c>
      <c r="AO16" s="286">
        <v>20879</v>
      </c>
      <c r="AP16" s="286">
        <v>-86922</v>
      </c>
      <c r="AQ16" s="266">
        <v>24664</v>
      </c>
      <c r="AR16" s="266">
        <v>25869</v>
      </c>
      <c r="AS16" s="266">
        <v>20489</v>
      </c>
      <c r="AT16" s="266">
        <v>32112</v>
      </c>
    </row>
    <row r="17" spans="1:46">
      <c r="A17" s="367" t="s">
        <v>191</v>
      </c>
      <c r="B17" s="264" t="s">
        <v>206</v>
      </c>
      <c r="C17" s="310">
        <v>-28928</v>
      </c>
      <c r="D17" s="266">
        <v>18789</v>
      </c>
      <c r="E17" s="266">
        <v>16157</v>
      </c>
      <c r="F17" s="266">
        <v>22622</v>
      </c>
      <c r="G17" s="266">
        <v>69790</v>
      </c>
      <c r="H17" s="266">
        <v>13968</v>
      </c>
      <c r="I17" s="266">
        <v>-3675</v>
      </c>
      <c r="J17" s="266">
        <v>-6846</v>
      </c>
      <c r="K17" s="266">
        <v>10052</v>
      </c>
      <c r="L17" s="266">
        <v>50882</v>
      </c>
      <c r="M17" s="266">
        <v>3066</v>
      </c>
      <c r="N17" s="266">
        <v>41627</v>
      </c>
      <c r="O17" s="266">
        <v>4467</v>
      </c>
      <c r="Q17" s="315" t="s">
        <v>443</v>
      </c>
      <c r="R17" s="264" t="s">
        <v>90</v>
      </c>
      <c r="S17" s="266">
        <v>-2470</v>
      </c>
      <c r="T17" s="266">
        <v>-10276</v>
      </c>
      <c r="U17" s="266">
        <v>12417</v>
      </c>
      <c r="V17" s="266">
        <v>328861</v>
      </c>
      <c r="W17" s="266">
        <v>8119</v>
      </c>
      <c r="X17" s="266">
        <v>-5631</v>
      </c>
      <c r="Y17" s="266">
        <v>9247</v>
      </c>
      <c r="Z17" s="266">
        <v>13291</v>
      </c>
      <c r="AA17" s="316">
        <v>14607</v>
      </c>
      <c r="AB17" s="266">
        <v>9724</v>
      </c>
      <c r="AC17" s="266">
        <v>7638</v>
      </c>
      <c r="AD17" s="317">
        <v>9005</v>
      </c>
      <c r="AE17" s="266">
        <v>14607</v>
      </c>
      <c r="AF17" s="266">
        <v>9724</v>
      </c>
      <c r="AG17" s="266">
        <v>7638</v>
      </c>
      <c r="AH17" s="266">
        <v>9005</v>
      </c>
      <c r="AI17" s="266">
        <v>6337</v>
      </c>
      <c r="AJ17" s="266">
        <v>8923</v>
      </c>
      <c r="AK17" s="266">
        <v>19511</v>
      </c>
      <c r="AL17" s="266">
        <v>16308</v>
      </c>
      <c r="AM17" s="266">
        <v>11485</v>
      </c>
      <c r="AN17" s="266">
        <v>8174</v>
      </c>
      <c r="AO17" s="286">
        <v>10998</v>
      </c>
      <c r="AP17" s="286">
        <v>13552</v>
      </c>
      <c r="AQ17" s="266">
        <v>10310</v>
      </c>
      <c r="AR17" s="266">
        <v>14298</v>
      </c>
      <c r="AS17" s="266">
        <v>23565</v>
      </c>
      <c r="AT17" s="266">
        <v>10017</v>
      </c>
    </row>
    <row r="18" spans="1:46">
      <c r="A18" s="315" t="s">
        <v>544</v>
      </c>
      <c r="B18" s="264" t="s">
        <v>90</v>
      </c>
      <c r="C18" s="310">
        <v>12790</v>
      </c>
      <c r="D18" s="266">
        <v>48490</v>
      </c>
      <c r="E18" s="266">
        <v>23713</v>
      </c>
      <c r="F18" s="266">
        <v>20866</v>
      </c>
      <c r="G18" s="266">
        <v>41554</v>
      </c>
      <c r="H18" s="266">
        <v>4099</v>
      </c>
      <c r="I18" s="266">
        <v>10626</v>
      </c>
      <c r="J18" s="266">
        <v>41871</v>
      </c>
      <c r="K18" s="266">
        <v>39771</v>
      </c>
      <c r="L18" s="266">
        <v>33220</v>
      </c>
      <c r="M18" s="266">
        <v>-581</v>
      </c>
      <c r="N18" s="266">
        <v>4984</v>
      </c>
      <c r="O18" s="266">
        <v>63114</v>
      </c>
      <c r="Q18" s="324"/>
      <c r="R18" s="325" t="s">
        <v>500</v>
      </c>
      <c r="S18" s="326">
        <v>883743</v>
      </c>
      <c r="T18" s="326">
        <v>903208</v>
      </c>
      <c r="U18" s="326">
        <v>1027103</v>
      </c>
      <c r="V18" s="326">
        <v>1444297</v>
      </c>
      <c r="W18" s="326">
        <v>757683</v>
      </c>
      <c r="X18" s="326">
        <v>840744</v>
      </c>
      <c r="Y18" s="326">
        <v>892370</v>
      </c>
      <c r="Z18" s="326">
        <v>897481</v>
      </c>
      <c r="AA18" s="327">
        <v>596624</v>
      </c>
      <c r="AB18" s="326">
        <v>623972</v>
      </c>
      <c r="AC18" s="326">
        <v>642922</v>
      </c>
      <c r="AD18" s="328">
        <v>645503</v>
      </c>
      <c r="AE18" s="326">
        <v>596624</v>
      </c>
      <c r="AF18" s="326">
        <v>623972</v>
      </c>
      <c r="AG18" s="326">
        <v>642922</v>
      </c>
      <c r="AH18" s="326">
        <v>645503</v>
      </c>
      <c r="AI18" s="326">
        <v>495378</v>
      </c>
      <c r="AJ18" s="326">
        <v>491511</v>
      </c>
      <c r="AK18" s="326">
        <v>656881</v>
      </c>
      <c r="AL18" s="326">
        <v>631892</v>
      </c>
      <c r="AM18" s="326">
        <v>657057</v>
      </c>
      <c r="AN18" s="326">
        <v>508686</v>
      </c>
      <c r="AO18" s="329">
        <v>496817</v>
      </c>
      <c r="AP18" s="329">
        <v>418712</v>
      </c>
      <c r="AQ18" s="326">
        <v>500773</v>
      </c>
      <c r="AR18" s="326">
        <v>514835</v>
      </c>
      <c r="AS18" s="326">
        <v>509581</v>
      </c>
      <c r="AT18" s="326">
        <v>513658</v>
      </c>
    </row>
    <row r="19" spans="1:46">
      <c r="A19" s="381"/>
      <c r="B19" s="382" t="s">
        <v>500</v>
      </c>
      <c r="C19" s="332">
        <v>1774112</v>
      </c>
      <c r="D19" s="383">
        <v>1428857</v>
      </c>
      <c r="E19" s="383">
        <v>1423110</v>
      </c>
      <c r="F19" s="383">
        <v>1794284</v>
      </c>
      <c r="G19" s="383">
        <v>1943037</v>
      </c>
      <c r="H19" s="383">
        <v>1361174</v>
      </c>
      <c r="I19" s="383">
        <v>1396876</v>
      </c>
      <c r="J19" s="383">
        <v>1371020</v>
      </c>
      <c r="K19" s="383">
        <v>1445567</v>
      </c>
      <c r="L19" s="383">
        <v>1320106</v>
      </c>
      <c r="M19" s="383">
        <v>1329120</v>
      </c>
      <c r="N19" s="383">
        <v>1364645</v>
      </c>
      <c r="O19" s="383">
        <v>1462851</v>
      </c>
      <c r="Q19" s="315" t="s">
        <v>430</v>
      </c>
      <c r="R19" s="264" t="s">
        <v>209</v>
      </c>
      <c r="S19" s="266">
        <v>-352154</v>
      </c>
      <c r="T19" s="266">
        <v>-359388</v>
      </c>
      <c r="U19" s="266">
        <v>-360943</v>
      </c>
      <c r="V19" s="266">
        <v>-609801</v>
      </c>
      <c r="W19" s="266">
        <v>-302142</v>
      </c>
      <c r="X19" s="266">
        <v>-355061</v>
      </c>
      <c r="Y19" s="266">
        <v>-313821</v>
      </c>
      <c r="Z19" s="266">
        <v>-557216</v>
      </c>
      <c r="AA19" s="316">
        <v>-255576</v>
      </c>
      <c r="AB19" s="266">
        <v>-249088</v>
      </c>
      <c r="AC19" s="266">
        <v>-216638</v>
      </c>
      <c r="AD19" s="317">
        <v>-239417</v>
      </c>
      <c r="AE19" s="266">
        <v>-255576</v>
      </c>
      <c r="AF19" s="266">
        <v>-249088</v>
      </c>
      <c r="AG19" s="266">
        <v>-216638</v>
      </c>
      <c r="AH19" s="266">
        <v>-239417</v>
      </c>
      <c r="AI19" s="266">
        <v>-213631</v>
      </c>
      <c r="AJ19" s="266">
        <v>-213109</v>
      </c>
      <c r="AK19" s="266">
        <v>-230936</v>
      </c>
      <c r="AL19" s="266">
        <v>-392010</v>
      </c>
      <c r="AM19" s="266">
        <v>-207534</v>
      </c>
      <c r="AN19" s="266">
        <v>-212900</v>
      </c>
      <c r="AO19" s="286">
        <v>-194553</v>
      </c>
      <c r="AP19" s="286">
        <v>-206507</v>
      </c>
      <c r="AQ19" s="266">
        <v>-194125</v>
      </c>
      <c r="AR19" s="266">
        <v>-191551</v>
      </c>
      <c r="AS19" s="266">
        <v>-191656</v>
      </c>
      <c r="AT19" s="266">
        <v>-206146</v>
      </c>
    </row>
    <row r="20" spans="1:46">
      <c r="A20" s="378" t="s">
        <v>430</v>
      </c>
      <c r="B20" s="379" t="s">
        <v>209</v>
      </c>
      <c r="C20" s="337">
        <v>-497174</v>
      </c>
      <c r="D20" s="380">
        <v>-414052</v>
      </c>
      <c r="E20" s="380">
        <v>-408892</v>
      </c>
      <c r="F20" s="380">
        <v>-480201</v>
      </c>
      <c r="G20" s="380">
        <v>-497419</v>
      </c>
      <c r="H20" s="380">
        <v>-437692</v>
      </c>
      <c r="I20" s="380">
        <v>-622465</v>
      </c>
      <c r="J20" s="380">
        <v>-395674</v>
      </c>
      <c r="K20" s="380">
        <v>-459669</v>
      </c>
      <c r="L20" s="380">
        <v>-429175</v>
      </c>
      <c r="M20" s="380">
        <v>-430866</v>
      </c>
      <c r="N20" s="380">
        <v>-385477</v>
      </c>
      <c r="O20" s="380">
        <v>-755879</v>
      </c>
      <c r="Q20" s="315" t="s">
        <v>530</v>
      </c>
      <c r="R20" s="264" t="s">
        <v>210</v>
      </c>
      <c r="S20" s="266">
        <v>-160690</v>
      </c>
      <c r="T20" s="266">
        <v>-181965</v>
      </c>
      <c r="U20" s="266">
        <v>-232641</v>
      </c>
      <c r="V20" s="266">
        <v>-302512</v>
      </c>
      <c r="W20" s="266">
        <v>-189880</v>
      </c>
      <c r="X20" s="266">
        <v>-157403</v>
      </c>
      <c r="Y20" s="266">
        <v>-151125</v>
      </c>
      <c r="Z20" s="266">
        <v>-180750</v>
      </c>
      <c r="AA20" s="316">
        <v>-114546</v>
      </c>
      <c r="AB20" s="266">
        <v>-116917</v>
      </c>
      <c r="AC20" s="266">
        <v>-120137</v>
      </c>
      <c r="AD20" s="317">
        <v>-147440</v>
      </c>
      <c r="AE20" s="266">
        <v>-114546</v>
      </c>
      <c r="AF20" s="266">
        <v>-116917</v>
      </c>
      <c r="AG20" s="266">
        <v>-120137</v>
      </c>
      <c r="AH20" s="266">
        <v>-147440</v>
      </c>
      <c r="AI20" s="266">
        <v>-90930</v>
      </c>
      <c r="AJ20" s="266">
        <v>-96204</v>
      </c>
      <c r="AK20" s="266">
        <v>-118223</v>
      </c>
      <c r="AL20" s="266">
        <v>-146473</v>
      </c>
      <c r="AM20" s="266">
        <v>-102285</v>
      </c>
      <c r="AN20" s="266">
        <v>-109981</v>
      </c>
      <c r="AO20" s="286">
        <v>-104323</v>
      </c>
      <c r="AP20" s="286">
        <v>-125842</v>
      </c>
      <c r="AQ20" s="266">
        <v>-96628</v>
      </c>
      <c r="AR20" s="266">
        <v>-104864</v>
      </c>
      <c r="AS20" s="266">
        <v>-107465</v>
      </c>
      <c r="AT20" s="266">
        <v>-116654</v>
      </c>
    </row>
    <row r="21" spans="1:46">
      <c r="A21" s="315" t="s">
        <v>530</v>
      </c>
      <c r="B21" s="264" t="s">
        <v>210</v>
      </c>
      <c r="C21" s="310">
        <v>-210606</v>
      </c>
      <c r="D21" s="266">
        <v>-179639</v>
      </c>
      <c r="E21" s="266">
        <v>-174729</v>
      </c>
      <c r="F21" s="266">
        <v>-230157</v>
      </c>
      <c r="G21" s="266">
        <v>-271602</v>
      </c>
      <c r="H21" s="266">
        <v>-188567</v>
      </c>
      <c r="I21" s="266">
        <v>-188699</v>
      </c>
      <c r="J21" s="266">
        <v>-179061</v>
      </c>
      <c r="K21" s="266">
        <v>-227824</v>
      </c>
      <c r="L21" s="266">
        <v>-179602</v>
      </c>
      <c r="M21" s="266">
        <v>-185507</v>
      </c>
      <c r="N21" s="266">
        <v>-181573</v>
      </c>
      <c r="O21" s="266">
        <v>-224541</v>
      </c>
      <c r="Q21" s="315" t="s">
        <v>432</v>
      </c>
      <c r="R21" s="264" t="s">
        <v>475</v>
      </c>
      <c r="S21" s="266">
        <v>-45584</v>
      </c>
      <c r="T21" s="266">
        <v>-48498</v>
      </c>
      <c r="U21" s="266">
        <v>-60664</v>
      </c>
      <c r="V21" s="266">
        <v>-72926</v>
      </c>
      <c r="W21" s="266">
        <v>-54454</v>
      </c>
      <c r="X21" s="266">
        <v>-52510</v>
      </c>
      <c r="Y21" s="266">
        <v>-52849</v>
      </c>
      <c r="Z21" s="266">
        <v>-120304</v>
      </c>
      <c r="AA21" s="316">
        <v>-39905</v>
      </c>
      <c r="AB21" s="266">
        <v>-41448</v>
      </c>
      <c r="AC21" s="266">
        <v>-40786</v>
      </c>
      <c r="AD21" s="317">
        <v>-45282</v>
      </c>
      <c r="AE21" s="266">
        <v>-40957</v>
      </c>
      <c r="AF21" s="266">
        <v>-44051</v>
      </c>
      <c r="AG21" s="266">
        <v>-42995</v>
      </c>
      <c r="AH21" s="266">
        <v>-50515</v>
      </c>
      <c r="AI21" s="266">
        <v>-33172</v>
      </c>
      <c r="AJ21" s="266">
        <v>-35380</v>
      </c>
      <c r="AK21" s="266">
        <v>-40189</v>
      </c>
      <c r="AL21" s="266">
        <v>-76335</v>
      </c>
      <c r="AM21" s="266">
        <v>-21339</v>
      </c>
      <c r="AN21" s="266">
        <v>-34986</v>
      </c>
      <c r="AO21" s="286">
        <v>-22933</v>
      </c>
      <c r="AP21" s="286">
        <v>-39681</v>
      </c>
      <c r="AQ21" s="266">
        <v>-18685</v>
      </c>
      <c r="AR21" s="266">
        <v>-22012</v>
      </c>
      <c r="AS21" s="266">
        <v>-20653</v>
      </c>
      <c r="AT21" s="266">
        <v>-26079</v>
      </c>
    </row>
    <row r="22" spans="1:46">
      <c r="A22" s="367" t="s">
        <v>432</v>
      </c>
      <c r="B22" s="264" t="s">
        <v>475</v>
      </c>
      <c r="C22" s="310">
        <v>-92139</v>
      </c>
      <c r="D22" s="266">
        <v>-73731</v>
      </c>
      <c r="E22" s="266">
        <v>-77045</v>
      </c>
      <c r="F22" s="266">
        <v>-97259</v>
      </c>
      <c r="G22" s="266">
        <v>-108817</v>
      </c>
      <c r="H22" s="266">
        <v>-63044</v>
      </c>
      <c r="I22" s="266">
        <v>-69206</v>
      </c>
      <c r="J22" s="266">
        <v>-73569</v>
      </c>
      <c r="K22" s="266">
        <v>-128772</v>
      </c>
      <c r="L22" s="266">
        <v>-57161</v>
      </c>
      <c r="M22" s="266">
        <v>-57856</v>
      </c>
      <c r="N22" s="266">
        <v>-59039</v>
      </c>
      <c r="O22" s="266">
        <v>-89508</v>
      </c>
      <c r="Q22" s="324"/>
      <c r="R22" s="325" t="s">
        <v>499</v>
      </c>
      <c r="S22" s="326">
        <v>-558428</v>
      </c>
      <c r="T22" s="326">
        <v>-589851</v>
      </c>
      <c r="U22" s="326">
        <v>-654248</v>
      </c>
      <c r="V22" s="326">
        <v>-985239</v>
      </c>
      <c r="W22" s="326">
        <v>-546476</v>
      </c>
      <c r="X22" s="326">
        <v>-564974</v>
      </c>
      <c r="Y22" s="326">
        <v>-517795</v>
      </c>
      <c r="Z22" s="326">
        <v>-858270</v>
      </c>
      <c r="AA22" s="327">
        <v>-410027</v>
      </c>
      <c r="AB22" s="326">
        <v>-407453</v>
      </c>
      <c r="AC22" s="326">
        <v>-377561</v>
      </c>
      <c r="AD22" s="328">
        <v>-432139</v>
      </c>
      <c r="AE22" s="326">
        <v>-411079</v>
      </c>
      <c r="AF22" s="326">
        <v>-410056</v>
      </c>
      <c r="AG22" s="326">
        <v>-379770</v>
      </c>
      <c r="AH22" s="326">
        <v>-437372</v>
      </c>
      <c r="AI22" s="326">
        <v>-337733</v>
      </c>
      <c r="AJ22" s="326">
        <v>-344693</v>
      </c>
      <c r="AK22" s="326">
        <v>-389348</v>
      </c>
      <c r="AL22" s="326">
        <v>-614818</v>
      </c>
      <c r="AM22" s="326">
        <v>-331158</v>
      </c>
      <c r="AN22" s="326">
        <v>-357867</v>
      </c>
      <c r="AO22" s="329">
        <v>-321809</v>
      </c>
      <c r="AP22" s="329">
        <v>-372030</v>
      </c>
      <c r="AQ22" s="326">
        <v>-309438</v>
      </c>
      <c r="AR22" s="326">
        <v>-318427</v>
      </c>
      <c r="AS22" s="326">
        <v>-319774</v>
      </c>
      <c r="AT22" s="326">
        <v>-348879</v>
      </c>
    </row>
    <row r="23" spans="1:46">
      <c r="A23" s="381"/>
      <c r="B23" s="382" t="s">
        <v>499</v>
      </c>
      <c r="C23" s="332">
        <v>-799919</v>
      </c>
      <c r="D23" s="383">
        <v>-667422</v>
      </c>
      <c r="E23" s="383">
        <v>-660666</v>
      </c>
      <c r="F23" s="383">
        <v>-807617</v>
      </c>
      <c r="G23" s="383">
        <v>-877838</v>
      </c>
      <c r="H23" s="383">
        <v>-689303</v>
      </c>
      <c r="I23" s="383">
        <v>-880370</v>
      </c>
      <c r="J23" s="383">
        <v>-648304</v>
      </c>
      <c r="K23" s="383">
        <v>-816265</v>
      </c>
      <c r="L23" s="383">
        <v>-665938</v>
      </c>
      <c r="M23" s="383">
        <v>-674229</v>
      </c>
      <c r="N23" s="383">
        <v>-626089</v>
      </c>
      <c r="O23" s="383">
        <v>-1069928</v>
      </c>
      <c r="Q23" s="338"/>
      <c r="R23" s="339" t="s">
        <v>213</v>
      </c>
      <c r="S23" s="340">
        <v>325315</v>
      </c>
      <c r="T23" s="340">
        <v>313357</v>
      </c>
      <c r="U23" s="340">
        <v>372855</v>
      </c>
      <c r="V23" s="340">
        <v>459058</v>
      </c>
      <c r="W23" s="340">
        <v>211207</v>
      </c>
      <c r="X23" s="340">
        <v>275770</v>
      </c>
      <c r="Y23" s="340">
        <v>374575</v>
      </c>
      <c r="Z23" s="340">
        <v>39211</v>
      </c>
      <c r="AA23" s="341">
        <v>186597</v>
      </c>
      <c r="AB23" s="340">
        <v>216519</v>
      </c>
      <c r="AC23" s="340">
        <v>265361</v>
      </c>
      <c r="AD23" s="342">
        <v>213364</v>
      </c>
      <c r="AE23" s="340">
        <v>185545</v>
      </c>
      <c r="AF23" s="340">
        <v>213916</v>
      </c>
      <c r="AG23" s="340">
        <v>263152</v>
      </c>
      <c r="AH23" s="340">
        <v>208131</v>
      </c>
      <c r="AI23" s="340">
        <v>157645</v>
      </c>
      <c r="AJ23" s="340">
        <v>146818</v>
      </c>
      <c r="AK23" s="340">
        <v>267533</v>
      </c>
      <c r="AL23" s="340">
        <v>17074</v>
      </c>
      <c r="AM23" s="340">
        <v>325899</v>
      </c>
      <c r="AN23" s="340">
        <v>150819</v>
      </c>
      <c r="AO23" s="343">
        <v>175008</v>
      </c>
      <c r="AP23" s="343">
        <v>46682</v>
      </c>
      <c r="AQ23" s="340">
        <v>191335</v>
      </c>
      <c r="AR23" s="340">
        <v>196408</v>
      </c>
      <c r="AS23" s="340">
        <v>189807</v>
      </c>
      <c r="AT23" s="340">
        <v>164779</v>
      </c>
    </row>
    <row r="24" spans="1:46">
      <c r="A24" s="384"/>
      <c r="B24" s="385" t="s">
        <v>213</v>
      </c>
      <c r="C24" s="346">
        <v>974193</v>
      </c>
      <c r="D24" s="386">
        <v>761435</v>
      </c>
      <c r="E24" s="386">
        <v>762444</v>
      </c>
      <c r="F24" s="386">
        <v>986667</v>
      </c>
      <c r="G24" s="386">
        <v>1065199</v>
      </c>
      <c r="H24" s="386">
        <v>671871</v>
      </c>
      <c r="I24" s="386">
        <v>516506</v>
      </c>
      <c r="J24" s="386">
        <v>722716</v>
      </c>
      <c r="K24" s="386">
        <v>629302</v>
      </c>
      <c r="L24" s="386">
        <v>654168</v>
      </c>
      <c r="M24" s="386">
        <v>654891</v>
      </c>
      <c r="N24" s="386">
        <v>738556</v>
      </c>
      <c r="O24" s="386">
        <v>392923</v>
      </c>
      <c r="Q24" s="351" t="s">
        <v>194</v>
      </c>
      <c r="R24" s="270" t="s">
        <v>469</v>
      </c>
      <c r="S24" s="266">
        <v>-111925</v>
      </c>
      <c r="T24" s="266">
        <v>-103692</v>
      </c>
      <c r="U24" s="266">
        <v>-118982</v>
      </c>
      <c r="V24" s="266">
        <v>-271460</v>
      </c>
      <c r="W24" s="266">
        <v>-419004</v>
      </c>
      <c r="X24" s="266">
        <v>-157291</v>
      </c>
      <c r="Y24" s="266">
        <v>-138202</v>
      </c>
      <c r="Z24" s="266">
        <v>-122697</v>
      </c>
      <c r="AA24" s="316">
        <v>-139553</v>
      </c>
      <c r="AB24" s="266">
        <v>-157769</v>
      </c>
      <c r="AC24" s="266">
        <v>-107870</v>
      </c>
      <c r="AD24" s="317">
        <v>-136685</v>
      </c>
      <c r="AE24" s="266">
        <v>-139553</v>
      </c>
      <c r="AF24" s="266">
        <v>-157769</v>
      </c>
      <c r="AG24" s="266">
        <v>-107870</v>
      </c>
      <c r="AH24" s="266">
        <v>-136685</v>
      </c>
      <c r="AI24" s="266">
        <v>-72485</v>
      </c>
      <c r="AJ24" s="266">
        <v>-74551</v>
      </c>
      <c r="AK24" s="266">
        <v>-160985</v>
      </c>
      <c r="AL24" s="266">
        <v>-139526</v>
      </c>
      <c r="AM24" s="266">
        <v>-26141</v>
      </c>
      <c r="AN24" s="266">
        <v>-58793</v>
      </c>
      <c r="AO24" s="286">
        <v>-70272</v>
      </c>
      <c r="AP24" s="286">
        <v>-70566</v>
      </c>
      <c r="AQ24" s="266">
        <v>-133573</v>
      </c>
      <c r="AR24" s="266">
        <v>-189659</v>
      </c>
      <c r="AS24" s="266">
        <v>-89722</v>
      </c>
      <c r="AT24" s="266">
        <v>-123021</v>
      </c>
    </row>
    <row r="25" spans="1:46" s="388" customFormat="1">
      <c r="A25" s="387" t="s">
        <v>194</v>
      </c>
      <c r="B25" s="270" t="s">
        <v>469</v>
      </c>
      <c r="C25" s="310">
        <v>-84473</v>
      </c>
      <c r="D25" s="266">
        <v>-68119</v>
      </c>
      <c r="E25" s="266">
        <v>-72433</v>
      </c>
      <c r="F25" s="266">
        <v>-87969</v>
      </c>
      <c r="G25" s="266">
        <v>-89092</v>
      </c>
      <c r="H25" s="266">
        <v>-92223</v>
      </c>
      <c r="I25" s="266">
        <v>-82224</v>
      </c>
      <c r="J25" s="266">
        <v>-78378</v>
      </c>
      <c r="K25" s="266">
        <v>-78933</v>
      </c>
      <c r="L25" s="266">
        <v>-142411</v>
      </c>
      <c r="M25" s="266">
        <v>-126919</v>
      </c>
      <c r="N25" s="266">
        <v>-95351</v>
      </c>
      <c r="O25" s="266">
        <v>-71580</v>
      </c>
      <c r="Q25" s="389"/>
      <c r="R25" s="361" t="s">
        <v>497</v>
      </c>
      <c r="S25" s="353">
        <v>-96109</v>
      </c>
      <c r="T25" s="353">
        <v>-97604</v>
      </c>
      <c r="U25" s="353">
        <v>-115171</v>
      </c>
      <c r="V25" s="353">
        <v>-273931</v>
      </c>
      <c r="W25" s="353">
        <v>-417667</v>
      </c>
      <c r="X25" s="353">
        <v>-159229</v>
      </c>
      <c r="Y25" s="353">
        <v>-137174</v>
      </c>
      <c r="Z25" s="353">
        <v>-124998</v>
      </c>
      <c r="AA25" s="352">
        <v>-139991</v>
      </c>
      <c r="AB25" s="353">
        <v>-153846</v>
      </c>
      <c r="AC25" s="353">
        <v>-106524</v>
      </c>
      <c r="AD25" s="354">
        <v>-134244</v>
      </c>
      <c r="AE25" s="353">
        <v>-139991</v>
      </c>
      <c r="AF25" s="353">
        <v>-153846</v>
      </c>
      <c r="AG25" s="353">
        <v>-106524</v>
      </c>
      <c r="AH25" s="353">
        <v>-134244</v>
      </c>
      <c r="AI25" s="353">
        <v>-90930</v>
      </c>
      <c r="AJ25" s="353">
        <v>-96204</v>
      </c>
      <c r="AK25" s="353">
        <v>-118223</v>
      </c>
      <c r="AL25" s="353">
        <v>-146473</v>
      </c>
      <c r="AM25" s="355">
        <v>-26141</v>
      </c>
      <c r="AN25" s="355">
        <v>-56547</v>
      </c>
      <c r="AO25" s="353">
        <v>-70087</v>
      </c>
      <c r="AP25" s="353">
        <v>-70540</v>
      </c>
      <c r="AQ25" s="353"/>
      <c r="AR25" s="353"/>
      <c r="AS25" s="353"/>
      <c r="AT25" s="353"/>
    </row>
    <row r="26" spans="1:46" s="388" customFormat="1">
      <c r="A26" s="363"/>
      <c r="B26" s="357" t="s">
        <v>497</v>
      </c>
      <c r="C26" s="358">
        <v>-85648</v>
      </c>
      <c r="D26" s="353">
        <v>-70509</v>
      </c>
      <c r="E26" s="353">
        <v>-72255</v>
      </c>
      <c r="F26" s="353">
        <v>-84953</v>
      </c>
      <c r="G26" s="353">
        <v>-86238</v>
      </c>
      <c r="H26" s="353">
        <v>-94977</v>
      </c>
      <c r="I26" s="353">
        <v>-85887</v>
      </c>
      <c r="J26" s="353">
        <v>-78808</v>
      </c>
      <c r="K26" s="353">
        <v>-63172</v>
      </c>
      <c r="L26" s="353">
        <v>-141199</v>
      </c>
      <c r="M26" s="353">
        <v>-130026</v>
      </c>
      <c r="N26" s="353">
        <v>-82577</v>
      </c>
      <c r="O26" s="353">
        <v>-71781</v>
      </c>
      <c r="Q26" s="389"/>
      <c r="R26" s="361" t="s">
        <v>498</v>
      </c>
      <c r="S26" s="353">
        <v>-15816</v>
      </c>
      <c r="T26" s="353">
        <v>-6088</v>
      </c>
      <c r="U26" s="353">
        <v>-3811</v>
      </c>
      <c r="V26" s="353">
        <v>2471</v>
      </c>
      <c r="W26" s="353">
        <v>-1337</v>
      </c>
      <c r="X26" s="353">
        <v>1938</v>
      </c>
      <c r="Y26" s="353">
        <v>-1028</v>
      </c>
      <c r="Z26" s="353">
        <v>2301</v>
      </c>
      <c r="AA26" s="352">
        <v>438</v>
      </c>
      <c r="AB26" s="353">
        <v>-3923</v>
      </c>
      <c r="AC26" s="353">
        <v>-1346</v>
      </c>
      <c r="AD26" s="354">
        <v>-2441</v>
      </c>
      <c r="AE26" s="353">
        <v>438</v>
      </c>
      <c r="AF26" s="353">
        <v>-3923</v>
      </c>
      <c r="AG26" s="353">
        <v>-1346</v>
      </c>
      <c r="AH26" s="353">
        <v>-2441</v>
      </c>
      <c r="AI26" s="353">
        <v>-33172</v>
      </c>
      <c r="AJ26" s="353">
        <v>-35380</v>
      </c>
      <c r="AK26" s="353">
        <v>-40189</v>
      </c>
      <c r="AL26" s="353">
        <v>-76335</v>
      </c>
      <c r="AM26" s="355">
        <v>0</v>
      </c>
      <c r="AN26" s="355">
        <v>-2246</v>
      </c>
      <c r="AO26" s="353">
        <v>-185</v>
      </c>
      <c r="AP26" s="353">
        <v>-26</v>
      </c>
      <c r="AQ26" s="353"/>
      <c r="AR26" s="353"/>
      <c r="AS26" s="353"/>
      <c r="AT26" s="353"/>
    </row>
    <row r="27" spans="1:46">
      <c r="A27" s="363"/>
      <c r="B27" s="361" t="s">
        <v>498</v>
      </c>
      <c r="C27" s="358">
        <v>1175</v>
      </c>
      <c r="D27" s="353">
        <v>2390</v>
      </c>
      <c r="E27" s="353">
        <v>-178</v>
      </c>
      <c r="F27" s="353">
        <v>-3016</v>
      </c>
      <c r="G27" s="353">
        <v>-2854</v>
      </c>
      <c r="H27" s="353">
        <v>2754</v>
      </c>
      <c r="I27" s="353">
        <v>3663</v>
      </c>
      <c r="J27" s="353">
        <v>430</v>
      </c>
      <c r="K27" s="353">
        <v>-15761</v>
      </c>
      <c r="L27" s="353">
        <v>-1212</v>
      </c>
      <c r="M27" s="353">
        <v>3107</v>
      </c>
      <c r="N27" s="353">
        <v>-12774</v>
      </c>
      <c r="O27" s="353">
        <v>201</v>
      </c>
      <c r="Q27" s="351" t="s">
        <v>434</v>
      </c>
      <c r="R27" s="270" t="s">
        <v>476</v>
      </c>
      <c r="S27" s="266">
        <v>-16</v>
      </c>
      <c r="T27" s="266">
        <v>-230</v>
      </c>
      <c r="U27" s="266">
        <v>0</v>
      </c>
      <c r="V27" s="266">
        <v>-196</v>
      </c>
      <c r="W27" s="266">
        <v>773</v>
      </c>
      <c r="X27" s="266">
        <v>913</v>
      </c>
      <c r="Y27" s="266">
        <v>-225</v>
      </c>
      <c r="Z27" s="266">
        <v>654</v>
      </c>
      <c r="AA27" s="316">
        <v>105</v>
      </c>
      <c r="AB27" s="266">
        <v>-963</v>
      </c>
      <c r="AC27" s="266">
        <v>363</v>
      </c>
      <c r="AD27" s="317">
        <v>133</v>
      </c>
      <c r="AE27" s="266">
        <v>105</v>
      </c>
      <c r="AF27" s="266">
        <v>-963</v>
      </c>
      <c r="AG27" s="266">
        <v>363</v>
      </c>
      <c r="AH27" s="266">
        <v>133</v>
      </c>
      <c r="AI27" s="266">
        <v>421</v>
      </c>
      <c r="AJ27" s="266">
        <v>-392</v>
      </c>
      <c r="AK27" s="266">
        <v>553</v>
      </c>
      <c r="AL27" s="266">
        <v>674</v>
      </c>
      <c r="AM27" s="266">
        <v>1763</v>
      </c>
      <c r="AN27" s="266">
        <v>141</v>
      </c>
      <c r="AO27" s="286">
        <v>150</v>
      </c>
      <c r="AP27" s="286">
        <v>12</v>
      </c>
      <c r="AQ27" s="266">
        <v>-17381</v>
      </c>
      <c r="AR27" s="266">
        <v>-54236</v>
      </c>
      <c r="AS27" s="266">
        <v>-29383</v>
      </c>
      <c r="AT27" s="266">
        <v>-3628</v>
      </c>
    </row>
    <row r="28" spans="1:46">
      <c r="A28" s="387" t="s">
        <v>434</v>
      </c>
      <c r="B28" s="270" t="s">
        <v>476</v>
      </c>
      <c r="C28" s="310">
        <v>296</v>
      </c>
      <c r="D28" s="266">
        <v>-175</v>
      </c>
      <c r="E28" s="266">
        <v>560</v>
      </c>
      <c r="F28" s="266">
        <v>-102</v>
      </c>
      <c r="G28" s="266">
        <v>-129</v>
      </c>
      <c r="H28" s="266">
        <v>-1049</v>
      </c>
      <c r="I28" s="266">
        <v>1005</v>
      </c>
      <c r="J28" s="266">
        <v>-324</v>
      </c>
      <c r="K28" s="266">
        <v>159</v>
      </c>
      <c r="L28" s="266">
        <v>-31</v>
      </c>
      <c r="M28" s="266">
        <v>529</v>
      </c>
      <c r="N28" s="266">
        <v>-817</v>
      </c>
      <c r="O28" s="266">
        <v>262</v>
      </c>
      <c r="Q28" s="351">
        <v>140</v>
      </c>
      <c r="R28" s="270" t="s">
        <v>435</v>
      </c>
      <c r="S28" s="266">
        <v>-1225</v>
      </c>
      <c r="T28" s="266">
        <v>27</v>
      </c>
      <c r="U28" s="266">
        <v>573</v>
      </c>
      <c r="V28" s="266">
        <v>486</v>
      </c>
      <c r="W28" s="266">
        <v>-602</v>
      </c>
      <c r="X28" s="266">
        <v>-1177</v>
      </c>
      <c r="Y28" s="266">
        <v>-386</v>
      </c>
      <c r="Z28" s="266">
        <v>-728</v>
      </c>
      <c r="AA28" s="316">
        <v>-195</v>
      </c>
      <c r="AB28" s="266">
        <v>-247</v>
      </c>
      <c r="AC28" s="266">
        <v>-182</v>
      </c>
      <c r="AD28" s="317">
        <v>-1517</v>
      </c>
      <c r="AE28" s="266">
        <v>-195</v>
      </c>
      <c r="AF28" s="266">
        <v>-247</v>
      </c>
      <c r="AG28" s="266">
        <v>-182</v>
      </c>
      <c r="AH28" s="266">
        <v>-1517</v>
      </c>
      <c r="AI28" s="266">
        <v>-891</v>
      </c>
      <c r="AJ28" s="266">
        <v>-76</v>
      </c>
      <c r="AK28" s="266">
        <v>-651</v>
      </c>
      <c r="AL28" s="266">
        <v>-1361</v>
      </c>
      <c r="AM28" s="266">
        <v>0</v>
      </c>
      <c r="AN28" s="266">
        <v>-1183</v>
      </c>
      <c r="AO28" s="286">
        <v>-1536</v>
      </c>
      <c r="AP28" s="286">
        <v>-237</v>
      </c>
      <c r="AQ28" s="266">
        <v>0</v>
      </c>
      <c r="AR28" s="266">
        <v>0</v>
      </c>
      <c r="AS28" s="266">
        <v>0</v>
      </c>
      <c r="AT28" s="266">
        <v>0</v>
      </c>
    </row>
    <row r="29" spans="1:46">
      <c r="A29" s="387">
        <v>140</v>
      </c>
      <c r="B29" s="270" t="s">
        <v>435</v>
      </c>
      <c r="C29" s="310">
        <v>-531</v>
      </c>
      <c r="D29" s="266">
        <v>-2667</v>
      </c>
      <c r="E29" s="266">
        <v>154</v>
      </c>
      <c r="F29" s="266">
        <v>-547</v>
      </c>
      <c r="G29" s="266">
        <v>1531</v>
      </c>
      <c r="H29" s="266">
        <v>-184</v>
      </c>
      <c r="I29" s="266">
        <v>-471</v>
      </c>
      <c r="J29" s="266">
        <v>-397</v>
      </c>
      <c r="K29" s="266">
        <v>-269</v>
      </c>
      <c r="L29" s="266">
        <v>1905</v>
      </c>
      <c r="M29" s="266">
        <v>991</v>
      </c>
      <c r="N29" s="266">
        <v>424</v>
      </c>
      <c r="O29" s="266">
        <v>-314</v>
      </c>
      <c r="Q29" s="362"/>
      <c r="R29" s="325" t="s">
        <v>471</v>
      </c>
      <c r="S29" s="326">
        <v>-113166</v>
      </c>
      <c r="T29" s="326">
        <v>-103895</v>
      </c>
      <c r="U29" s="326">
        <v>-118409</v>
      </c>
      <c r="V29" s="326">
        <v>-271170</v>
      </c>
      <c r="W29" s="326">
        <v>-418833</v>
      </c>
      <c r="X29" s="326">
        <v>-157555</v>
      </c>
      <c r="Y29" s="326">
        <v>-138813</v>
      </c>
      <c r="Z29" s="326">
        <v>-122771</v>
      </c>
      <c r="AA29" s="327">
        <v>-139643</v>
      </c>
      <c r="AB29" s="326">
        <v>-158979</v>
      </c>
      <c r="AC29" s="326">
        <v>-107689</v>
      </c>
      <c r="AD29" s="328">
        <v>-138069</v>
      </c>
      <c r="AE29" s="326">
        <v>-139643</v>
      </c>
      <c r="AF29" s="326">
        <v>-158979</v>
      </c>
      <c r="AG29" s="326">
        <v>-107689</v>
      </c>
      <c r="AH29" s="326">
        <v>-138069</v>
      </c>
      <c r="AI29" s="326">
        <v>-72955</v>
      </c>
      <c r="AJ29" s="326">
        <v>-75019</v>
      </c>
      <c r="AK29" s="326">
        <v>-161083</v>
      </c>
      <c r="AL29" s="326">
        <v>-140213</v>
      </c>
      <c r="AM29" s="326">
        <v>-24378</v>
      </c>
      <c r="AN29" s="326">
        <v>-59835</v>
      </c>
      <c r="AO29" s="329">
        <v>-71658</v>
      </c>
      <c r="AP29" s="329">
        <v>-70791</v>
      </c>
      <c r="AQ29" s="326">
        <v>-150954</v>
      </c>
      <c r="AR29" s="326">
        <v>-243895</v>
      </c>
      <c r="AS29" s="326">
        <v>-119105</v>
      </c>
      <c r="AT29" s="326">
        <v>-126649</v>
      </c>
    </row>
    <row r="30" spans="1:46">
      <c r="A30" s="381"/>
      <c r="B30" s="382" t="s">
        <v>471</v>
      </c>
      <c r="C30" s="332">
        <v>-84708</v>
      </c>
      <c r="D30" s="383">
        <v>-70961</v>
      </c>
      <c r="E30" s="383">
        <v>-71719</v>
      </c>
      <c r="F30" s="383">
        <v>-88618</v>
      </c>
      <c r="G30" s="383">
        <v>-87690</v>
      </c>
      <c r="H30" s="383">
        <v>-93456</v>
      </c>
      <c r="I30" s="383">
        <v>-81690</v>
      </c>
      <c r="J30" s="383">
        <v>-79099</v>
      </c>
      <c r="K30" s="383">
        <v>-79043</v>
      </c>
      <c r="L30" s="383">
        <v>-140537</v>
      </c>
      <c r="M30" s="383">
        <v>-125399</v>
      </c>
      <c r="N30" s="383">
        <v>-95744</v>
      </c>
      <c r="O30" s="383">
        <v>-71632</v>
      </c>
      <c r="Q30" s="351">
        <v>200</v>
      </c>
      <c r="R30" s="270" t="s">
        <v>87</v>
      </c>
      <c r="S30" s="266">
        <v>-12200</v>
      </c>
      <c r="T30" s="266">
        <v>-28839</v>
      </c>
      <c r="U30" s="266">
        <v>-11785</v>
      </c>
      <c r="V30" s="266">
        <v>-79432</v>
      </c>
      <c r="W30" s="266">
        <v>-40914</v>
      </c>
      <c r="X30" s="266">
        <v>-9592</v>
      </c>
      <c r="Y30" s="266">
        <v>-4527</v>
      </c>
      <c r="Z30" s="266">
        <v>-25712</v>
      </c>
      <c r="AA30" s="316">
        <v>2276</v>
      </c>
      <c r="AB30" s="266">
        <v>-17177</v>
      </c>
      <c r="AC30" s="266">
        <v>-15109</v>
      </c>
      <c r="AD30" s="317">
        <v>-2471</v>
      </c>
      <c r="AE30" s="266">
        <v>2276</v>
      </c>
      <c r="AF30" s="266">
        <v>-17177</v>
      </c>
      <c r="AG30" s="266">
        <v>-15109</v>
      </c>
      <c r="AH30" s="266">
        <v>-2471</v>
      </c>
      <c r="AI30" s="266">
        <v>-1995</v>
      </c>
      <c r="AJ30" s="266">
        <v>-9698</v>
      </c>
      <c r="AK30" s="266">
        <v>2491</v>
      </c>
      <c r="AL30" s="266">
        <v>-2991</v>
      </c>
      <c r="AM30" s="266">
        <v>-11663</v>
      </c>
      <c r="AN30" s="266">
        <v>-25376</v>
      </c>
      <c r="AO30" s="286">
        <v>-12091</v>
      </c>
      <c r="AP30" s="286">
        <v>23936</v>
      </c>
      <c r="AQ30" s="266">
        <v>-1014</v>
      </c>
      <c r="AR30" s="266">
        <v>-4154</v>
      </c>
      <c r="AS30" s="266">
        <v>-2822</v>
      </c>
      <c r="AT30" s="266">
        <v>-37901</v>
      </c>
    </row>
    <row r="31" spans="1:46">
      <c r="A31" s="390" t="s">
        <v>447</v>
      </c>
      <c r="B31" s="391" t="s">
        <v>87</v>
      </c>
      <c r="C31" s="337">
        <v>-3649</v>
      </c>
      <c r="D31" s="380">
        <v>-16872</v>
      </c>
      <c r="E31" s="380">
        <v>2138</v>
      </c>
      <c r="F31" s="380">
        <v>-15440</v>
      </c>
      <c r="G31" s="380">
        <v>-13143</v>
      </c>
      <c r="H31" s="380">
        <v>-4659</v>
      </c>
      <c r="I31" s="380">
        <v>-6346</v>
      </c>
      <c r="J31" s="380">
        <v>-20003</v>
      </c>
      <c r="K31" s="380">
        <v>-44645</v>
      </c>
      <c r="L31" s="380">
        <v>-57088</v>
      </c>
      <c r="M31" s="380">
        <v>-8298</v>
      </c>
      <c r="N31" s="380">
        <v>-4093</v>
      </c>
      <c r="O31" s="380">
        <v>6998</v>
      </c>
      <c r="Q31" s="363" t="s">
        <v>235</v>
      </c>
      <c r="R31" s="270" t="s">
        <v>539</v>
      </c>
      <c r="S31" s="266">
        <v>-45666</v>
      </c>
      <c r="T31" s="266">
        <v>-55</v>
      </c>
      <c r="U31" s="266">
        <v>-123280</v>
      </c>
      <c r="V31" s="266">
        <v>-3422</v>
      </c>
      <c r="W31" s="266">
        <v>-31055</v>
      </c>
      <c r="X31" s="266">
        <v>-15106</v>
      </c>
      <c r="Y31" s="266">
        <v>-79957</v>
      </c>
      <c r="Z31" s="266">
        <v>-7581</v>
      </c>
      <c r="AA31" s="316">
        <v>-31978</v>
      </c>
      <c r="AB31" s="266">
        <v>-2185</v>
      </c>
      <c r="AC31" s="266">
        <v>-30490</v>
      </c>
      <c r="AD31" s="317">
        <v>-23529</v>
      </c>
      <c r="AE31" s="266">
        <v>-31978</v>
      </c>
      <c r="AF31" s="266">
        <v>-2185</v>
      </c>
      <c r="AG31" s="266">
        <v>-30490</v>
      </c>
      <c r="AH31" s="266">
        <v>-23529</v>
      </c>
      <c r="AI31" s="266">
        <v>-23184</v>
      </c>
      <c r="AJ31" s="266">
        <v>-9459</v>
      </c>
      <c r="AK31" s="266">
        <v>-25771</v>
      </c>
      <c r="AL31" s="266">
        <v>-2267</v>
      </c>
      <c r="AM31" s="266">
        <v>-20282</v>
      </c>
      <c r="AN31" s="266">
        <v>-8670</v>
      </c>
      <c r="AO31" s="286">
        <v>-23448</v>
      </c>
      <c r="AP31" s="286">
        <v>75</v>
      </c>
      <c r="AQ31" s="266">
        <v>-18061</v>
      </c>
      <c r="AR31" s="266">
        <v>2114</v>
      </c>
      <c r="AS31" s="266">
        <v>-20205</v>
      </c>
      <c r="AT31" s="266">
        <v>-1569</v>
      </c>
    </row>
    <row r="32" spans="1:46">
      <c r="A32" s="367" t="s">
        <v>545</v>
      </c>
      <c r="B32" s="264" t="s">
        <v>508</v>
      </c>
      <c r="C32" s="364">
        <v>-576</v>
      </c>
      <c r="D32" s="266">
        <v>213</v>
      </c>
      <c r="E32" s="266">
        <v>1999</v>
      </c>
      <c r="F32" s="266">
        <v>-678</v>
      </c>
      <c r="G32" s="266">
        <v>-18843</v>
      </c>
      <c r="H32" s="266">
        <v>149347</v>
      </c>
      <c r="I32" s="266">
        <v>1980</v>
      </c>
      <c r="J32" s="266">
        <v>1059</v>
      </c>
      <c r="K32" s="266">
        <v>-118176</v>
      </c>
      <c r="L32" s="266">
        <v>578</v>
      </c>
      <c r="M32" s="266">
        <v>-7924</v>
      </c>
      <c r="N32" s="266">
        <v>23301</v>
      </c>
      <c r="O32" s="266">
        <v>-74816</v>
      </c>
      <c r="Q32" s="315" t="s">
        <v>560</v>
      </c>
      <c r="R32" s="264" t="s">
        <v>508</v>
      </c>
      <c r="S32" s="266">
        <v>4026</v>
      </c>
      <c r="T32" s="266">
        <v>2988</v>
      </c>
      <c r="U32" s="266">
        <v>6337</v>
      </c>
      <c r="V32" s="266">
        <v>-21096</v>
      </c>
      <c r="W32" s="266">
        <v>-250655</v>
      </c>
      <c r="X32" s="266">
        <v>-2629</v>
      </c>
      <c r="Y32" s="266">
        <v>-2631</v>
      </c>
      <c r="Z32" s="266">
        <v>-27408</v>
      </c>
      <c r="AA32" s="316">
        <v>64</v>
      </c>
      <c r="AB32" s="266">
        <v>-10151</v>
      </c>
      <c r="AC32" s="266">
        <v>62</v>
      </c>
      <c r="AD32" s="317">
        <v>-10038</v>
      </c>
      <c r="AE32" s="266">
        <v>321</v>
      </c>
      <c r="AF32" s="266">
        <v>-5481</v>
      </c>
      <c r="AG32" s="266">
        <v>1140</v>
      </c>
      <c r="AH32" s="266">
        <v>1941</v>
      </c>
      <c r="AI32" s="266">
        <v>3809</v>
      </c>
      <c r="AJ32" s="266">
        <v>4586</v>
      </c>
      <c r="AK32" s="266">
        <v>415</v>
      </c>
      <c r="AL32" s="266">
        <v>-2199</v>
      </c>
      <c r="AM32" s="266">
        <v>2827</v>
      </c>
      <c r="AN32" s="266">
        <v>2591</v>
      </c>
      <c r="AO32" s="286">
        <v>3535</v>
      </c>
      <c r="AP32" s="286">
        <v>-57654</v>
      </c>
      <c r="AQ32" s="266">
        <v>3705</v>
      </c>
      <c r="AR32" s="266">
        <v>2843</v>
      </c>
      <c r="AS32" s="266">
        <v>4885</v>
      </c>
      <c r="AT32" s="266">
        <v>-21319</v>
      </c>
    </row>
    <row r="33" spans="1:46" hidden="1" outlineLevel="1">
      <c r="A33" s="315" t="s">
        <v>546</v>
      </c>
      <c r="B33" s="270" t="s">
        <v>306</v>
      </c>
      <c r="C33" s="310"/>
      <c r="D33" s="266">
        <v>0</v>
      </c>
      <c r="E33" s="266">
        <v>0</v>
      </c>
      <c r="F33" s="266">
        <v>0</v>
      </c>
      <c r="G33" s="266">
        <v>0</v>
      </c>
      <c r="H33" s="266">
        <v>0</v>
      </c>
      <c r="I33" s="266">
        <v>0</v>
      </c>
      <c r="J33" s="266">
        <v>0</v>
      </c>
      <c r="K33" s="266">
        <v>0</v>
      </c>
      <c r="L33" s="266">
        <v>0</v>
      </c>
      <c r="M33" s="266">
        <v>0</v>
      </c>
      <c r="N33" s="266">
        <v>0</v>
      </c>
      <c r="O33" s="266">
        <v>0</v>
      </c>
      <c r="Q33" s="367" t="s">
        <v>573</v>
      </c>
      <c r="R33" s="270" t="s">
        <v>306</v>
      </c>
      <c r="S33" s="266">
        <v>0</v>
      </c>
      <c r="T33" s="266">
        <v>1188433</v>
      </c>
      <c r="U33" s="266">
        <v>-17111</v>
      </c>
      <c r="V33" s="266">
        <v>-223199</v>
      </c>
      <c r="W33" s="266">
        <v>1077869</v>
      </c>
      <c r="X33" s="266">
        <v>72053</v>
      </c>
      <c r="Y33" s="266">
        <v>-22075</v>
      </c>
      <c r="Z33" s="266">
        <v>0</v>
      </c>
      <c r="AA33" s="316">
        <v>0</v>
      </c>
      <c r="AB33" s="266">
        <v>0</v>
      </c>
      <c r="AC33" s="266">
        <v>0</v>
      </c>
      <c r="AD33" s="317">
        <v>0</v>
      </c>
      <c r="AE33" s="266">
        <v>0</v>
      </c>
      <c r="AF33" s="266">
        <v>0</v>
      </c>
      <c r="AG33" s="266">
        <v>0</v>
      </c>
      <c r="AH33" s="266">
        <v>0</v>
      </c>
      <c r="AI33" s="266">
        <v>0</v>
      </c>
      <c r="AJ33" s="266">
        <v>0</v>
      </c>
      <c r="AK33" s="266">
        <v>353805</v>
      </c>
      <c r="AL33" s="266">
        <v>-10444</v>
      </c>
      <c r="AM33" s="266">
        <v>0</v>
      </c>
      <c r="AN33" s="266">
        <v>0</v>
      </c>
      <c r="AO33" s="286">
        <v>0</v>
      </c>
      <c r="AP33" s="286">
        <v>0</v>
      </c>
      <c r="AQ33" s="266">
        <v>0</v>
      </c>
      <c r="AR33" s="266">
        <v>130722</v>
      </c>
      <c r="AS33" s="266">
        <v>0</v>
      </c>
      <c r="AT33" s="266">
        <v>60170</v>
      </c>
    </row>
    <row r="34" spans="1:46" collapsed="1">
      <c r="A34" s="392">
        <v>290</v>
      </c>
      <c r="B34" s="382" t="s">
        <v>574</v>
      </c>
      <c r="C34" s="332">
        <v>885260</v>
      </c>
      <c r="D34" s="383">
        <v>673815</v>
      </c>
      <c r="E34" s="383">
        <v>694862</v>
      </c>
      <c r="F34" s="383">
        <v>881931</v>
      </c>
      <c r="G34" s="383">
        <v>945523</v>
      </c>
      <c r="H34" s="383">
        <v>723103</v>
      </c>
      <c r="I34" s="383">
        <v>430450</v>
      </c>
      <c r="J34" s="383">
        <v>624673</v>
      </c>
      <c r="K34" s="383">
        <v>387438</v>
      </c>
      <c r="L34" s="383">
        <v>457121</v>
      </c>
      <c r="M34" s="383">
        <v>513270</v>
      </c>
      <c r="N34" s="383">
        <v>662020</v>
      </c>
      <c r="O34" s="383">
        <v>253473</v>
      </c>
      <c r="Q34" s="362" t="s">
        <v>198</v>
      </c>
      <c r="R34" s="325" t="s">
        <v>501</v>
      </c>
      <c r="S34" s="326">
        <v>158309</v>
      </c>
      <c r="T34" s="326">
        <v>1371989</v>
      </c>
      <c r="U34" s="326">
        <v>108607</v>
      </c>
      <c r="V34" s="326">
        <v>-139261</v>
      </c>
      <c r="W34" s="326">
        <v>547619</v>
      </c>
      <c r="X34" s="326">
        <v>162941</v>
      </c>
      <c r="Y34" s="326">
        <v>126572</v>
      </c>
      <c r="Z34" s="326">
        <v>-144261</v>
      </c>
      <c r="AA34" s="327">
        <v>17316</v>
      </c>
      <c r="AB34" s="326">
        <v>28027</v>
      </c>
      <c r="AC34" s="326">
        <v>112135</v>
      </c>
      <c r="AD34" s="328">
        <v>39257</v>
      </c>
      <c r="AE34" s="326">
        <v>16521</v>
      </c>
      <c r="AF34" s="326">
        <v>30094</v>
      </c>
      <c r="AG34" s="326">
        <v>111004</v>
      </c>
      <c r="AH34" s="326">
        <v>46003</v>
      </c>
      <c r="AI34" s="326">
        <v>63320</v>
      </c>
      <c r="AJ34" s="326">
        <v>57228</v>
      </c>
      <c r="AK34" s="326">
        <v>437390</v>
      </c>
      <c r="AL34" s="326">
        <v>-141040</v>
      </c>
      <c r="AM34" s="326">
        <v>272403</v>
      </c>
      <c r="AN34" s="326">
        <v>59529</v>
      </c>
      <c r="AO34" s="329">
        <v>71346</v>
      </c>
      <c r="AP34" s="329">
        <v>-57752</v>
      </c>
      <c r="AQ34" s="326">
        <v>25011</v>
      </c>
      <c r="AR34" s="326">
        <v>84038</v>
      </c>
      <c r="AS34" s="326">
        <v>52560</v>
      </c>
      <c r="AT34" s="326">
        <v>37511</v>
      </c>
    </row>
    <row r="35" spans="1:46">
      <c r="A35" s="363" t="s">
        <v>235</v>
      </c>
      <c r="B35" s="270" t="s">
        <v>581</v>
      </c>
      <c r="C35" s="310">
        <v>0</v>
      </c>
      <c r="D35" s="266">
        <v>0</v>
      </c>
      <c r="E35" s="266">
        <v>0</v>
      </c>
      <c r="F35" s="266">
        <v>0</v>
      </c>
      <c r="G35" s="266">
        <v>-11851</v>
      </c>
      <c r="H35" s="266">
        <v>-111822</v>
      </c>
      <c r="I35" s="266">
        <v>2258</v>
      </c>
      <c r="J35" s="266">
        <v>-10</v>
      </c>
      <c r="K35" s="266">
        <v>-2110</v>
      </c>
      <c r="L35" s="266">
        <v>-69530</v>
      </c>
      <c r="M35" s="266">
        <v>20046</v>
      </c>
      <c r="N35" s="266">
        <v>-125753</v>
      </c>
      <c r="O35" s="266">
        <v>13996</v>
      </c>
      <c r="Q35" s="363" t="s">
        <v>439</v>
      </c>
      <c r="R35" s="270" t="s">
        <v>502</v>
      </c>
      <c r="S35" s="266">
        <v>-39579</v>
      </c>
      <c r="T35" s="266">
        <v>-95745</v>
      </c>
      <c r="U35" s="266">
        <v>-22046</v>
      </c>
      <c r="V35" s="266">
        <v>131606</v>
      </c>
      <c r="W35" s="266">
        <v>-140830</v>
      </c>
      <c r="X35" s="266">
        <v>-50902</v>
      </c>
      <c r="Y35" s="266">
        <v>-34317</v>
      </c>
      <c r="Z35" s="266">
        <v>91827</v>
      </c>
      <c r="AA35" s="316">
        <v>-6582</v>
      </c>
      <c r="AB35" s="266">
        <v>74603</v>
      </c>
      <c r="AC35" s="266">
        <v>-7049</v>
      </c>
      <c r="AD35" s="317">
        <v>4219</v>
      </c>
      <c r="AE35" s="266">
        <v>-6119</v>
      </c>
      <c r="AF35" s="266">
        <v>75066</v>
      </c>
      <c r="AG35" s="266">
        <v>-6585</v>
      </c>
      <c r="AH35" s="266">
        <v>4683</v>
      </c>
      <c r="AI35" s="266">
        <v>-12266</v>
      </c>
      <c r="AJ35" s="266">
        <v>987</v>
      </c>
      <c r="AK35" s="266">
        <v>-8666</v>
      </c>
      <c r="AL35" s="266">
        <v>-2501</v>
      </c>
      <c r="AM35" s="266">
        <v>-6918</v>
      </c>
      <c r="AN35" s="266">
        <v>-2850</v>
      </c>
      <c r="AO35" s="286">
        <v>-14206</v>
      </c>
      <c r="AP35" s="286">
        <v>124238</v>
      </c>
      <c r="AQ35" s="266">
        <v>-7743</v>
      </c>
      <c r="AR35" s="266">
        <v>17926</v>
      </c>
      <c r="AS35" s="266">
        <v>-23696</v>
      </c>
      <c r="AT35" s="266">
        <v>-8725</v>
      </c>
    </row>
    <row r="36" spans="1:46">
      <c r="A36" s="363"/>
      <c r="B36" s="270" t="s">
        <v>592</v>
      </c>
      <c r="C36" s="310">
        <v>-25066</v>
      </c>
      <c r="D36" s="266">
        <v>0</v>
      </c>
      <c r="E36" s="266">
        <v>0</v>
      </c>
      <c r="F36" s="266">
        <v>0</v>
      </c>
      <c r="G36" s="266">
        <v>-288558</v>
      </c>
      <c r="H36" s="266"/>
      <c r="I36" s="266"/>
      <c r="J36" s="266"/>
      <c r="K36" s="266"/>
      <c r="L36" s="266"/>
      <c r="M36" s="266"/>
      <c r="N36" s="266"/>
      <c r="O36" s="266"/>
      <c r="Q36" s="363"/>
      <c r="R36" s="270"/>
      <c r="S36" s="266"/>
      <c r="T36" s="266"/>
      <c r="U36" s="266"/>
      <c r="V36" s="266"/>
      <c r="W36" s="266"/>
      <c r="X36" s="266"/>
      <c r="Y36" s="266"/>
      <c r="Z36" s="266"/>
      <c r="AA36" s="316"/>
      <c r="AB36" s="266"/>
      <c r="AC36" s="266"/>
      <c r="AD36" s="317"/>
      <c r="AE36" s="266"/>
      <c r="AF36" s="266"/>
      <c r="AG36" s="266"/>
      <c r="AH36" s="266"/>
      <c r="AI36" s="266"/>
      <c r="AJ36" s="266"/>
      <c r="AK36" s="266"/>
      <c r="AL36" s="266"/>
      <c r="AM36" s="266"/>
      <c r="AN36" s="266"/>
      <c r="AO36" s="286"/>
      <c r="AP36" s="286"/>
      <c r="AQ36" s="266"/>
      <c r="AR36" s="266"/>
      <c r="AS36" s="266"/>
      <c r="AT36" s="266"/>
    </row>
    <row r="37" spans="1:46">
      <c r="A37" s="363"/>
      <c r="B37" s="270" t="s">
        <v>593</v>
      </c>
      <c r="C37" s="310">
        <v>-29635</v>
      </c>
      <c r="D37" s="266">
        <v>0</v>
      </c>
      <c r="E37" s="266">
        <v>0</v>
      </c>
      <c r="F37" s="266">
        <v>0</v>
      </c>
      <c r="G37" s="266">
        <v>-181775</v>
      </c>
      <c r="H37" s="266"/>
      <c r="I37" s="266"/>
      <c r="J37" s="266"/>
      <c r="K37" s="266"/>
      <c r="L37" s="266"/>
      <c r="M37" s="266"/>
      <c r="N37" s="266"/>
      <c r="O37" s="266"/>
      <c r="Q37" s="363"/>
      <c r="R37" s="270"/>
      <c r="S37" s="266"/>
      <c r="T37" s="266"/>
      <c r="U37" s="266"/>
      <c r="V37" s="266"/>
      <c r="W37" s="266"/>
      <c r="X37" s="266"/>
      <c r="Y37" s="266"/>
      <c r="Z37" s="266"/>
      <c r="AA37" s="316"/>
      <c r="AB37" s="266"/>
      <c r="AC37" s="266"/>
      <c r="AD37" s="317"/>
      <c r="AE37" s="266"/>
      <c r="AF37" s="266"/>
      <c r="AG37" s="266"/>
      <c r="AH37" s="266"/>
      <c r="AI37" s="266"/>
      <c r="AJ37" s="266"/>
      <c r="AK37" s="266"/>
      <c r="AL37" s="266"/>
      <c r="AM37" s="266"/>
      <c r="AN37" s="266"/>
      <c r="AO37" s="286"/>
      <c r="AP37" s="286"/>
      <c r="AQ37" s="266"/>
      <c r="AR37" s="266"/>
      <c r="AS37" s="266"/>
      <c r="AT37" s="266"/>
    </row>
    <row r="38" spans="1:46">
      <c r="A38" s="393"/>
      <c r="B38" s="394" t="s">
        <v>543</v>
      </c>
      <c r="C38" s="369">
        <v>830559</v>
      </c>
      <c r="D38" s="395">
        <v>673815</v>
      </c>
      <c r="E38" s="395">
        <v>694862</v>
      </c>
      <c r="F38" s="395">
        <v>881931</v>
      </c>
      <c r="G38" s="395">
        <v>463339</v>
      </c>
      <c r="H38" s="395">
        <v>611281</v>
      </c>
      <c r="I38" s="395">
        <v>432708</v>
      </c>
      <c r="J38" s="395">
        <v>624663</v>
      </c>
      <c r="K38" s="395">
        <v>385328</v>
      </c>
      <c r="L38" s="395">
        <v>387591</v>
      </c>
      <c r="M38" s="395">
        <v>533316</v>
      </c>
      <c r="N38" s="395">
        <v>536267</v>
      </c>
      <c r="O38" s="395">
        <v>267469</v>
      </c>
      <c r="Q38" s="362" t="s">
        <v>201</v>
      </c>
      <c r="R38" s="325" t="s">
        <v>540</v>
      </c>
      <c r="S38" s="326">
        <v>118730</v>
      </c>
      <c r="T38" s="326">
        <v>1276244</v>
      </c>
      <c r="U38" s="326">
        <v>86561</v>
      </c>
      <c r="V38" s="326">
        <v>-7655</v>
      </c>
      <c r="W38" s="326">
        <v>406789</v>
      </c>
      <c r="X38" s="326">
        <v>112039</v>
      </c>
      <c r="Y38" s="326">
        <v>92255</v>
      </c>
      <c r="Z38" s="326">
        <v>-52434</v>
      </c>
      <c r="AA38" s="327">
        <v>10734</v>
      </c>
      <c r="AB38" s="326">
        <v>102630</v>
      </c>
      <c r="AC38" s="326">
        <v>105086</v>
      </c>
      <c r="AD38" s="328">
        <v>43476</v>
      </c>
      <c r="AE38" s="326">
        <v>10402</v>
      </c>
      <c r="AF38" s="326">
        <v>105160</v>
      </c>
      <c r="AG38" s="326">
        <v>104419</v>
      </c>
      <c r="AH38" s="326">
        <v>50686</v>
      </c>
      <c r="AI38" s="326">
        <v>51054</v>
      </c>
      <c r="AJ38" s="326">
        <v>58215</v>
      </c>
      <c r="AK38" s="326">
        <v>428724</v>
      </c>
      <c r="AL38" s="326">
        <v>-143541</v>
      </c>
      <c r="AM38" s="326">
        <v>265485</v>
      </c>
      <c r="AN38" s="326">
        <v>56679</v>
      </c>
      <c r="AO38" s="329">
        <v>57140</v>
      </c>
      <c r="AP38" s="329">
        <v>66486</v>
      </c>
      <c r="AQ38" s="326">
        <v>17268</v>
      </c>
      <c r="AR38" s="326">
        <v>101964</v>
      </c>
      <c r="AS38" s="326">
        <v>28864</v>
      </c>
      <c r="AT38" s="326">
        <v>28786</v>
      </c>
    </row>
    <row r="39" spans="1:46">
      <c r="A39" s="390" t="s">
        <v>439</v>
      </c>
      <c r="B39" s="391" t="s">
        <v>502</v>
      </c>
      <c r="C39" s="337">
        <v>-283496</v>
      </c>
      <c r="D39" s="380">
        <v>-222360</v>
      </c>
      <c r="E39" s="380">
        <v>-226228</v>
      </c>
      <c r="F39" s="380">
        <v>-273438</v>
      </c>
      <c r="G39" s="380">
        <v>-117309</v>
      </c>
      <c r="H39" s="380">
        <v>-145029</v>
      </c>
      <c r="I39" s="380">
        <v>-157783</v>
      </c>
      <c r="J39" s="380">
        <v>-199892</v>
      </c>
      <c r="K39" s="380">
        <v>-112766</v>
      </c>
      <c r="L39" s="380">
        <v>-88249</v>
      </c>
      <c r="M39" s="380">
        <v>-113147</v>
      </c>
      <c r="N39" s="380">
        <v>-145968</v>
      </c>
      <c r="O39" s="380">
        <v>174490</v>
      </c>
      <c r="Q39" s="367" t="s">
        <v>202</v>
      </c>
      <c r="R39" s="264" t="s">
        <v>349</v>
      </c>
      <c r="S39" s="266">
        <v>-6058</v>
      </c>
      <c r="T39" s="266">
        <v>-4108</v>
      </c>
      <c r="U39" s="266">
        <v>-4993</v>
      </c>
      <c r="V39" s="266">
        <v>-9746</v>
      </c>
      <c r="W39" s="266">
        <v>-6523</v>
      </c>
      <c r="X39" s="266">
        <v>-10497</v>
      </c>
      <c r="Y39" s="266">
        <v>-7840</v>
      </c>
      <c r="Z39" s="266">
        <v>-8666</v>
      </c>
      <c r="AA39" s="316">
        <v>-4325</v>
      </c>
      <c r="AB39" s="266">
        <v>-6543</v>
      </c>
      <c r="AC39" s="266">
        <v>-8484</v>
      </c>
      <c r="AD39" s="317">
        <v>-5649</v>
      </c>
      <c r="AE39" s="266">
        <v>-4320</v>
      </c>
      <c r="AF39" s="266">
        <v>-6563</v>
      </c>
      <c r="AG39" s="266">
        <v>-8479</v>
      </c>
      <c r="AH39" s="266">
        <v>-5655</v>
      </c>
      <c r="AI39" s="266">
        <v>-3083</v>
      </c>
      <c r="AJ39" s="266">
        <v>-5694</v>
      </c>
      <c r="AK39" s="266">
        <v>-6291</v>
      </c>
      <c r="AL39" s="266">
        <v>199</v>
      </c>
      <c r="AM39" s="266">
        <v>-14462</v>
      </c>
      <c r="AN39" s="266">
        <v>183</v>
      </c>
      <c r="AO39" s="286">
        <v>-6899</v>
      </c>
      <c r="AP39" s="286">
        <v>-22659</v>
      </c>
      <c r="AQ39" s="266">
        <v>-2710</v>
      </c>
      <c r="AR39" s="266">
        <v>2540</v>
      </c>
      <c r="AS39" s="266">
        <v>1032</v>
      </c>
      <c r="AT39" s="266">
        <v>-1306</v>
      </c>
    </row>
    <row r="40" spans="1:46">
      <c r="A40" s="387"/>
      <c r="B40" s="270" t="s">
        <v>347</v>
      </c>
      <c r="C40" s="310">
        <v>0</v>
      </c>
      <c r="D40" s="266">
        <v>0</v>
      </c>
      <c r="E40" s="266">
        <v>0</v>
      </c>
      <c r="F40" s="266">
        <v>5854</v>
      </c>
      <c r="G40" s="266">
        <v>0</v>
      </c>
      <c r="H40" s="266">
        <v>0</v>
      </c>
      <c r="I40" s="266">
        <v>0</v>
      </c>
      <c r="J40" s="266">
        <v>0</v>
      </c>
      <c r="K40" s="266">
        <v>0</v>
      </c>
      <c r="L40" s="266">
        <v>0</v>
      </c>
      <c r="M40" s="266">
        <v>0</v>
      </c>
      <c r="N40" s="266">
        <v>0</v>
      </c>
      <c r="O40" s="266">
        <v>0</v>
      </c>
      <c r="Q40" s="367"/>
      <c r="R40" s="264"/>
      <c r="S40" s="266"/>
      <c r="T40" s="266"/>
      <c r="U40" s="266"/>
      <c r="V40" s="266"/>
      <c r="W40" s="266"/>
      <c r="X40" s="266"/>
      <c r="Y40" s="266"/>
      <c r="Z40" s="266"/>
      <c r="AA40" s="316"/>
      <c r="AB40" s="266"/>
      <c r="AC40" s="266"/>
      <c r="AD40" s="317"/>
      <c r="AE40" s="266"/>
      <c r="AF40" s="266"/>
      <c r="AG40" s="266"/>
      <c r="AH40" s="266"/>
      <c r="AI40" s="266"/>
      <c r="AJ40" s="266"/>
      <c r="AK40" s="266"/>
      <c r="AL40" s="266"/>
      <c r="AM40" s="266"/>
      <c r="AN40" s="266"/>
      <c r="AO40" s="286"/>
      <c r="AP40" s="286"/>
      <c r="AQ40" s="266"/>
      <c r="AR40" s="266"/>
      <c r="AS40" s="266"/>
      <c r="AT40" s="266"/>
    </row>
    <row r="41" spans="1:46">
      <c r="A41" s="381">
        <v>330</v>
      </c>
      <c r="B41" s="382" t="s">
        <v>540</v>
      </c>
      <c r="C41" s="332">
        <v>547063</v>
      </c>
      <c r="D41" s="383">
        <v>451455</v>
      </c>
      <c r="E41" s="383">
        <v>468634</v>
      </c>
      <c r="F41" s="383">
        <v>614347</v>
      </c>
      <c r="G41" s="383">
        <v>346030</v>
      </c>
      <c r="H41" s="383">
        <v>466252</v>
      </c>
      <c r="I41" s="383">
        <v>274925</v>
      </c>
      <c r="J41" s="383">
        <v>424771</v>
      </c>
      <c r="K41" s="383">
        <v>272562</v>
      </c>
      <c r="L41" s="383">
        <v>299342</v>
      </c>
      <c r="M41" s="383">
        <v>420169</v>
      </c>
      <c r="N41" s="383">
        <v>390299</v>
      </c>
      <c r="O41" s="383">
        <v>441959</v>
      </c>
      <c r="Q41" s="373" t="s">
        <v>561</v>
      </c>
      <c r="R41" s="374" t="s">
        <v>224</v>
      </c>
      <c r="S41" s="326">
        <v>112672</v>
      </c>
      <c r="T41" s="326">
        <v>1272136</v>
      </c>
      <c r="U41" s="326">
        <v>81568</v>
      </c>
      <c r="V41" s="326">
        <v>-17401</v>
      </c>
      <c r="W41" s="326">
        <v>400266</v>
      </c>
      <c r="X41" s="326">
        <v>101542</v>
      </c>
      <c r="Y41" s="326">
        <v>84415</v>
      </c>
      <c r="Z41" s="326">
        <v>-61100</v>
      </c>
      <c r="AA41" s="327">
        <v>6409</v>
      </c>
      <c r="AB41" s="326">
        <v>96087</v>
      </c>
      <c r="AC41" s="326">
        <v>96602</v>
      </c>
      <c r="AD41" s="328">
        <v>37827</v>
      </c>
      <c r="AE41" s="326">
        <v>6082</v>
      </c>
      <c r="AF41" s="326">
        <v>98597</v>
      </c>
      <c r="AG41" s="326">
        <v>95940</v>
      </c>
      <c r="AH41" s="326">
        <v>45031</v>
      </c>
      <c r="AI41" s="326">
        <v>47971</v>
      </c>
      <c r="AJ41" s="326">
        <v>52521</v>
      </c>
      <c r="AK41" s="326">
        <v>422433</v>
      </c>
      <c r="AL41" s="326">
        <v>-143342</v>
      </c>
      <c r="AM41" s="326">
        <v>251023</v>
      </c>
      <c r="AN41" s="326">
        <v>56862</v>
      </c>
      <c r="AO41" s="329">
        <v>50424</v>
      </c>
      <c r="AP41" s="329">
        <v>43827</v>
      </c>
      <c r="AQ41" s="326">
        <v>14558</v>
      </c>
      <c r="AR41" s="326">
        <v>104504</v>
      </c>
      <c r="AS41" s="326">
        <v>29896</v>
      </c>
      <c r="AT41" s="326">
        <v>27480</v>
      </c>
    </row>
    <row r="42" spans="1:46">
      <c r="A42" s="396" t="s">
        <v>202</v>
      </c>
      <c r="B42" s="379" t="s">
        <v>349</v>
      </c>
      <c r="C42" s="337">
        <v>-28518</v>
      </c>
      <c r="D42" s="380">
        <v>-8529</v>
      </c>
      <c r="E42" s="380">
        <v>-8091</v>
      </c>
      <c r="F42" s="380">
        <v>-39255</v>
      </c>
      <c r="G42" s="380">
        <v>-6144</v>
      </c>
      <c r="H42" s="380">
        <v>-8976</v>
      </c>
      <c r="I42" s="380">
        <v>-8029</v>
      </c>
      <c r="J42" s="380">
        <v>-11908</v>
      </c>
      <c r="K42" s="380">
        <v>-6948</v>
      </c>
      <c r="L42" s="380">
        <v>-8667</v>
      </c>
      <c r="M42" s="380">
        <v>-6293</v>
      </c>
      <c r="N42" s="380">
        <v>-7780</v>
      </c>
      <c r="O42" s="380">
        <v>-9533</v>
      </c>
    </row>
    <row r="43" spans="1:46">
      <c r="A43" s="397">
        <v>350</v>
      </c>
      <c r="B43" s="398" t="s">
        <v>224</v>
      </c>
      <c r="C43" s="332">
        <v>518545</v>
      </c>
      <c r="D43" s="383">
        <v>442926</v>
      </c>
      <c r="E43" s="383">
        <v>460543</v>
      </c>
      <c r="F43" s="383">
        <v>575092</v>
      </c>
      <c r="G43" s="383">
        <v>339886</v>
      </c>
      <c r="H43" s="383">
        <v>457276</v>
      </c>
      <c r="I43" s="383">
        <v>266896</v>
      </c>
      <c r="J43" s="383">
        <v>412863</v>
      </c>
      <c r="K43" s="383">
        <v>265614</v>
      </c>
      <c r="L43" s="383">
        <v>290675</v>
      </c>
      <c r="M43" s="383">
        <v>413876</v>
      </c>
      <c r="N43" s="383">
        <v>382519</v>
      </c>
      <c r="O43" s="383">
        <v>432426</v>
      </c>
    </row>
    <row r="46" spans="1:46">
      <c r="B46" s="297"/>
      <c r="C46" s="297"/>
      <c r="D46" s="297"/>
      <c r="E46" s="297"/>
      <c r="F46" s="297"/>
      <c r="G46" s="297"/>
      <c r="H46" s="297"/>
      <c r="I46" s="297"/>
      <c r="J46" s="297"/>
      <c r="K46" s="297"/>
      <c r="L46" s="297"/>
      <c r="M46" s="297"/>
      <c r="N46" s="297"/>
      <c r="O46" s="297"/>
    </row>
  </sheetData>
  <mergeCells count="3">
    <mergeCell ref="A12:B12"/>
    <mergeCell ref="Q12:R12"/>
    <mergeCell ref="B46:O46"/>
  </mergeCells>
  <phoneticPr fontId="60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7BD87-63C5-4627-A209-DC6CA59711EE}">
  <dimension ref="A3:J32"/>
  <sheetViews>
    <sheetView workbookViewId="0">
      <selection activeCell="A21" sqref="A21"/>
    </sheetView>
  </sheetViews>
  <sheetFormatPr defaultColWidth="57.85546875" defaultRowHeight="11.25"/>
  <cols>
    <col min="1" max="1" width="61.28515625" style="223" customWidth="1"/>
    <col min="2" max="2" width="14.5703125" style="223" customWidth="1"/>
    <col min="3" max="3" width="8.5703125" style="223" bestFit="1" customWidth="1"/>
    <col min="4" max="4" width="11.28515625" style="223" customWidth="1"/>
    <col min="5" max="5" width="14.5703125" style="223" customWidth="1"/>
    <col min="6" max="6" width="7.5703125" style="223" bestFit="1" customWidth="1"/>
    <col min="7" max="7" width="8.5703125" style="223" bestFit="1" customWidth="1"/>
    <col min="8" max="10" width="7.5703125" style="223" bestFit="1" customWidth="1"/>
    <col min="11" max="16384" width="57.85546875" style="223"/>
  </cols>
  <sheetData>
    <row r="3" spans="1:10" ht="12.75">
      <c r="A3" s="230" t="s">
        <v>518</v>
      </c>
    </row>
    <row r="6" spans="1:10" ht="48" customHeight="1" thickBot="1">
      <c r="A6" s="224" t="s">
        <v>519</v>
      </c>
      <c r="B6" s="225" t="s">
        <v>520</v>
      </c>
      <c r="C6" s="225" t="s">
        <v>521</v>
      </c>
      <c r="D6" s="226" t="s">
        <v>522</v>
      </c>
      <c r="E6" s="226" t="s">
        <v>528</v>
      </c>
      <c r="F6" s="225" t="s">
        <v>523</v>
      </c>
      <c r="G6" s="225" t="s">
        <v>524</v>
      </c>
      <c r="H6" s="225" t="s">
        <v>525</v>
      </c>
      <c r="I6" s="225" t="s">
        <v>526</v>
      </c>
      <c r="J6" s="225" t="s">
        <v>527</v>
      </c>
    </row>
    <row r="7" spans="1:10">
      <c r="A7" s="207" t="s">
        <v>68</v>
      </c>
      <c r="B7" s="208">
        <v>56929</v>
      </c>
      <c r="C7" s="208">
        <v>62243</v>
      </c>
      <c r="D7" s="209">
        <v>12300</v>
      </c>
      <c r="E7" s="209">
        <v>49943</v>
      </c>
      <c r="F7" s="208">
        <v>40028</v>
      </c>
      <c r="G7" s="208">
        <v>38729</v>
      </c>
      <c r="H7" s="208">
        <v>41722</v>
      </c>
      <c r="I7" s="208">
        <v>39343</v>
      </c>
      <c r="J7" s="208">
        <v>35397</v>
      </c>
    </row>
    <row r="8" spans="1:10">
      <c r="A8" s="210" t="s">
        <v>71</v>
      </c>
      <c r="B8" s="211">
        <v>52513</v>
      </c>
      <c r="C8" s="211">
        <v>50156</v>
      </c>
      <c r="D8" s="212">
        <v>-3500</v>
      </c>
      <c r="E8" s="212">
        <v>53656</v>
      </c>
      <c r="F8" s="211">
        <v>57307</v>
      </c>
      <c r="G8" s="211">
        <v>57992</v>
      </c>
      <c r="H8" s="211">
        <v>55574</v>
      </c>
      <c r="I8" s="211">
        <v>61395</v>
      </c>
      <c r="J8" s="211">
        <v>51247</v>
      </c>
    </row>
    <row r="9" spans="1:10">
      <c r="A9" s="210" t="s">
        <v>205</v>
      </c>
      <c r="B9" s="211">
        <v>1847</v>
      </c>
      <c r="C9" s="211">
        <v>332</v>
      </c>
      <c r="D9" s="212"/>
      <c r="E9" s="212">
        <v>332</v>
      </c>
      <c r="F9" s="211">
        <v>10209</v>
      </c>
      <c r="G9" s="211">
        <v>22</v>
      </c>
      <c r="H9" s="211">
        <v>88</v>
      </c>
      <c r="I9" s="211">
        <v>1572</v>
      </c>
      <c r="J9" s="211">
        <v>10396</v>
      </c>
    </row>
    <row r="10" spans="1:10">
      <c r="A10" s="210" t="s">
        <v>206</v>
      </c>
      <c r="B10" s="211">
        <v>10406</v>
      </c>
      <c r="C10" s="211">
        <v>-85795</v>
      </c>
      <c r="D10" s="212">
        <v>-87100</v>
      </c>
      <c r="E10" s="212">
        <v>1305</v>
      </c>
      <c r="F10" s="211">
        <v>-1556</v>
      </c>
      <c r="G10" s="211">
        <v>-13779</v>
      </c>
      <c r="H10" s="211">
        <v>5225</v>
      </c>
      <c r="I10" s="211">
        <v>3958</v>
      </c>
      <c r="J10" s="211">
        <v>-113</v>
      </c>
    </row>
    <row r="11" spans="1:10">
      <c r="A11" s="210" t="s">
        <v>90</v>
      </c>
      <c r="B11" s="211">
        <v>1494</v>
      </c>
      <c r="C11" s="211">
        <v>1171</v>
      </c>
      <c r="D11" s="212">
        <v>-2700</v>
      </c>
      <c r="E11" s="212">
        <v>3871</v>
      </c>
      <c r="F11" s="211">
        <v>2222</v>
      </c>
      <c r="G11" s="211">
        <v>-1138</v>
      </c>
      <c r="H11" s="211">
        <v>208</v>
      </c>
      <c r="I11" s="211">
        <v>1492</v>
      </c>
      <c r="J11" s="211">
        <v>-2243</v>
      </c>
    </row>
    <row r="12" spans="1:10">
      <c r="A12" s="213" t="s">
        <v>500</v>
      </c>
      <c r="B12" s="214">
        <v>123189</v>
      </c>
      <c r="C12" s="214">
        <v>28107</v>
      </c>
      <c r="D12" s="215">
        <v>-81000</v>
      </c>
      <c r="E12" s="215">
        <v>109107</v>
      </c>
      <c r="F12" s="214">
        <v>108210</v>
      </c>
      <c r="G12" s="214">
        <v>81826</v>
      </c>
      <c r="H12" s="214">
        <v>102817</v>
      </c>
      <c r="I12" s="214">
        <v>107760</v>
      </c>
      <c r="J12" s="214">
        <v>94684</v>
      </c>
    </row>
    <row r="13" spans="1:10">
      <c r="A13" s="210" t="s">
        <v>431</v>
      </c>
      <c r="B13" s="211">
        <v>-46852</v>
      </c>
      <c r="C13" s="211">
        <v>-53130</v>
      </c>
      <c r="D13" s="212"/>
      <c r="E13" s="212">
        <v>-53130</v>
      </c>
      <c r="F13" s="211">
        <v>-50557</v>
      </c>
      <c r="G13" s="211">
        <v>-53774</v>
      </c>
      <c r="H13" s="211">
        <v>-53186</v>
      </c>
      <c r="I13" s="211">
        <v>-54110</v>
      </c>
      <c r="J13" s="211">
        <v>-54431</v>
      </c>
    </row>
    <row r="14" spans="1:10">
      <c r="A14" s="210" t="s">
        <v>210</v>
      </c>
      <c r="B14" s="211">
        <v>-42346</v>
      </c>
      <c r="C14" s="211">
        <v>-81087</v>
      </c>
      <c r="D14" s="212">
        <v>-41500</v>
      </c>
      <c r="E14" s="212">
        <v>-39587</v>
      </c>
      <c r="F14" s="211">
        <v>-33190</v>
      </c>
      <c r="G14" s="211">
        <v>-38832</v>
      </c>
      <c r="H14" s="211">
        <v>-37250</v>
      </c>
      <c r="I14" s="211">
        <v>-34342</v>
      </c>
      <c r="J14" s="211">
        <v>-35520</v>
      </c>
    </row>
    <row r="15" spans="1:10">
      <c r="A15" s="210" t="s">
        <v>433</v>
      </c>
      <c r="B15" s="211">
        <v>-11697</v>
      </c>
      <c r="C15" s="211">
        <v>-84022</v>
      </c>
      <c r="D15" s="212">
        <v>-72300</v>
      </c>
      <c r="E15" s="212">
        <v>-11722</v>
      </c>
      <c r="F15" s="211">
        <v>-11378</v>
      </c>
      <c r="G15" s="211">
        <v>-16322</v>
      </c>
      <c r="H15" s="211">
        <v>-9414</v>
      </c>
      <c r="I15" s="211">
        <v>-9890</v>
      </c>
      <c r="J15" s="211">
        <v>-9339</v>
      </c>
    </row>
    <row r="16" spans="1:10">
      <c r="A16" s="213" t="s">
        <v>499</v>
      </c>
      <c r="B16" s="214">
        <v>-100895</v>
      </c>
      <c r="C16" s="214">
        <v>-218239</v>
      </c>
      <c r="D16" s="215">
        <v>-113800</v>
      </c>
      <c r="E16" s="215">
        <v>-104439</v>
      </c>
      <c r="F16" s="214">
        <v>-95125</v>
      </c>
      <c r="G16" s="214">
        <v>-108928</v>
      </c>
      <c r="H16" s="214">
        <v>-99850</v>
      </c>
      <c r="I16" s="214">
        <v>-98342</v>
      </c>
      <c r="J16" s="214">
        <v>-99290</v>
      </c>
    </row>
    <row r="17" spans="1:10">
      <c r="A17" s="216" t="s">
        <v>213</v>
      </c>
      <c r="B17" s="217">
        <v>22294</v>
      </c>
      <c r="C17" s="217">
        <v>-190132</v>
      </c>
      <c r="D17" s="218">
        <v>-194800</v>
      </c>
      <c r="E17" s="218">
        <v>4668</v>
      </c>
      <c r="F17" s="217">
        <v>13085</v>
      </c>
      <c r="G17" s="217">
        <v>-27102</v>
      </c>
      <c r="H17" s="217">
        <v>2967</v>
      </c>
      <c r="I17" s="217">
        <v>9418</v>
      </c>
      <c r="J17" s="217">
        <v>-4606</v>
      </c>
    </row>
    <row r="18" spans="1:10">
      <c r="A18" s="219" t="s">
        <v>469</v>
      </c>
      <c r="B18" s="211">
        <v>-11905</v>
      </c>
      <c r="C18" s="211">
        <v>-14544</v>
      </c>
      <c r="D18" s="212">
        <v>0</v>
      </c>
      <c r="E18" s="212">
        <v>-14544</v>
      </c>
      <c r="F18" s="211">
        <v>-12481</v>
      </c>
      <c r="G18" s="211">
        <v>-6014</v>
      </c>
      <c r="H18" s="211">
        <v>-750</v>
      </c>
      <c r="I18" s="211">
        <v>-17747</v>
      </c>
      <c r="J18" s="211">
        <v>-22973</v>
      </c>
    </row>
    <row r="19" spans="1:10" hidden="1">
      <c r="A19" s="227" t="s">
        <v>497</v>
      </c>
      <c r="B19" s="228">
        <v>-11912</v>
      </c>
      <c r="C19" s="228">
        <v>0</v>
      </c>
      <c r="D19" s="229"/>
      <c r="E19" s="229">
        <v>0</v>
      </c>
      <c r="F19" s="228">
        <v>0</v>
      </c>
      <c r="G19" s="228">
        <v>0</v>
      </c>
      <c r="H19" s="228">
        <v>0</v>
      </c>
      <c r="I19" s="228">
        <v>0</v>
      </c>
      <c r="J19" s="228">
        <v>0</v>
      </c>
    </row>
    <row r="20" spans="1:10" hidden="1">
      <c r="A20" s="227" t="s">
        <v>498</v>
      </c>
      <c r="B20" s="228">
        <v>7</v>
      </c>
      <c r="C20" s="228">
        <v>0</v>
      </c>
      <c r="D20" s="229"/>
      <c r="E20" s="229">
        <v>0</v>
      </c>
      <c r="F20" s="228">
        <v>0</v>
      </c>
      <c r="G20" s="228">
        <v>0</v>
      </c>
      <c r="H20" s="228">
        <v>0</v>
      </c>
      <c r="I20" s="228">
        <v>0</v>
      </c>
      <c r="J20" s="228">
        <v>0</v>
      </c>
    </row>
    <row r="21" spans="1:10">
      <c r="A21" s="219" t="s">
        <v>470</v>
      </c>
      <c r="B21" s="211">
        <v>29</v>
      </c>
      <c r="C21" s="211">
        <v>5</v>
      </c>
      <c r="D21" s="212">
        <v>0</v>
      </c>
      <c r="E21" s="212">
        <v>5</v>
      </c>
      <c r="F21" s="211">
        <v>6</v>
      </c>
      <c r="G21" s="211">
        <v>-34</v>
      </c>
      <c r="H21" s="211">
        <v>-66</v>
      </c>
      <c r="I21" s="211">
        <v>-50</v>
      </c>
      <c r="J21" s="211">
        <v>14</v>
      </c>
    </row>
    <row r="22" spans="1:10">
      <c r="A22" s="210" t="s">
        <v>435</v>
      </c>
      <c r="B22" s="211">
        <v>471</v>
      </c>
      <c r="C22" s="211">
        <v>313</v>
      </c>
      <c r="D22" s="212">
        <v>0</v>
      </c>
      <c r="E22" s="212">
        <v>313</v>
      </c>
      <c r="F22" s="211">
        <v>55</v>
      </c>
      <c r="G22" s="211">
        <v>-7</v>
      </c>
      <c r="H22" s="211">
        <v>-51</v>
      </c>
      <c r="I22" s="211">
        <v>-255</v>
      </c>
      <c r="J22" s="211">
        <v>96</v>
      </c>
    </row>
    <row r="23" spans="1:10">
      <c r="A23" s="213" t="s">
        <v>471</v>
      </c>
      <c r="B23" s="214">
        <v>-11405</v>
      </c>
      <c r="C23" s="214">
        <v>-14226</v>
      </c>
      <c r="D23" s="215">
        <v>0</v>
      </c>
      <c r="E23" s="215">
        <v>-14226</v>
      </c>
      <c r="F23" s="214">
        <v>-12420</v>
      </c>
      <c r="G23" s="214">
        <v>-6055</v>
      </c>
      <c r="H23" s="214">
        <v>-867</v>
      </c>
      <c r="I23" s="214">
        <v>-18052</v>
      </c>
      <c r="J23" s="214">
        <v>-22863</v>
      </c>
    </row>
    <row r="24" spans="1:10">
      <c r="A24" s="220" t="s">
        <v>87</v>
      </c>
      <c r="B24" s="221">
        <v>-1317</v>
      </c>
      <c r="C24" s="221">
        <v>-31502</v>
      </c>
      <c r="D24" s="222">
        <v>-30600</v>
      </c>
      <c r="E24" s="222">
        <v>-902</v>
      </c>
      <c r="F24" s="221">
        <v>274</v>
      </c>
      <c r="G24" s="221">
        <v>4619</v>
      </c>
      <c r="H24" s="221">
        <v>-13469</v>
      </c>
      <c r="I24" s="221">
        <v>-2762</v>
      </c>
      <c r="J24" s="221">
        <v>-1599</v>
      </c>
    </row>
    <row r="25" spans="1:10">
      <c r="A25" s="210" t="s">
        <v>436</v>
      </c>
      <c r="B25" s="211">
        <v>-21334</v>
      </c>
      <c r="C25" s="211">
        <v>0</v>
      </c>
      <c r="D25" s="212">
        <v>0</v>
      </c>
      <c r="E25" s="212">
        <v>0</v>
      </c>
      <c r="F25" s="211">
        <v>-10489</v>
      </c>
      <c r="G25" s="211">
        <v>-2955</v>
      </c>
      <c r="H25" s="211">
        <v>-15390</v>
      </c>
      <c r="I25" s="211">
        <v>-3310</v>
      </c>
      <c r="J25" s="211">
        <v>-10300</v>
      </c>
    </row>
    <row r="26" spans="1:10">
      <c r="A26" s="210" t="s">
        <v>508</v>
      </c>
      <c r="B26" s="211">
        <v>1364</v>
      </c>
      <c r="C26" s="211">
        <v>2547</v>
      </c>
      <c r="D26" s="212">
        <v>0</v>
      </c>
      <c r="E26" s="212">
        <v>2547</v>
      </c>
      <c r="F26" s="211">
        <v>2387</v>
      </c>
      <c r="G26" s="211">
        <v>11246</v>
      </c>
      <c r="H26" s="211">
        <v>39</v>
      </c>
      <c r="I26" s="211">
        <v>3490</v>
      </c>
      <c r="J26" s="211">
        <v>3401</v>
      </c>
    </row>
    <row r="27" spans="1:10">
      <c r="A27" s="210" t="s">
        <v>306</v>
      </c>
      <c r="B27" s="211">
        <v>0</v>
      </c>
      <c r="C27" s="211">
        <v>0</v>
      </c>
      <c r="D27" s="212">
        <v>0</v>
      </c>
      <c r="E27" s="212">
        <v>0</v>
      </c>
      <c r="F27" s="211">
        <v>0</v>
      </c>
      <c r="G27" s="211">
        <v>0</v>
      </c>
      <c r="H27" s="211">
        <v>0</v>
      </c>
      <c r="I27" s="211">
        <v>0</v>
      </c>
      <c r="J27" s="211">
        <v>0</v>
      </c>
    </row>
    <row r="28" spans="1:10">
      <c r="A28" s="213" t="s">
        <v>501</v>
      </c>
      <c r="B28" s="214">
        <v>-10398</v>
      </c>
      <c r="C28" s="214">
        <v>-233313</v>
      </c>
      <c r="D28" s="215">
        <v>-225400</v>
      </c>
      <c r="E28" s="215">
        <v>-7913</v>
      </c>
      <c r="F28" s="214">
        <v>-7163</v>
      </c>
      <c r="G28" s="214">
        <v>-20247</v>
      </c>
      <c r="H28" s="214">
        <v>-26720</v>
      </c>
      <c r="I28" s="214">
        <v>-11216</v>
      </c>
      <c r="J28" s="214">
        <v>-35967</v>
      </c>
    </row>
    <row r="29" spans="1:10">
      <c r="A29" s="210" t="s">
        <v>502</v>
      </c>
      <c r="B29" s="211">
        <v>6865</v>
      </c>
      <c r="C29" s="211">
        <v>20717</v>
      </c>
      <c r="D29" s="212">
        <v>20400</v>
      </c>
      <c r="E29" s="212">
        <v>317</v>
      </c>
      <c r="F29" s="211">
        <v>-1330</v>
      </c>
      <c r="G29" s="211">
        <v>4231</v>
      </c>
      <c r="H29" s="211">
        <v>33</v>
      </c>
      <c r="I29" s="211">
        <v>1312</v>
      </c>
      <c r="J29" s="211">
        <v>-4228</v>
      </c>
    </row>
    <row r="30" spans="1:10">
      <c r="A30" s="213" t="s">
        <v>222</v>
      </c>
      <c r="B30" s="214">
        <v>-3533</v>
      </c>
      <c r="C30" s="214">
        <v>-212596</v>
      </c>
      <c r="D30" s="215">
        <v>-205000</v>
      </c>
      <c r="E30" s="215">
        <v>-7596</v>
      </c>
      <c r="F30" s="214">
        <v>-8493</v>
      </c>
      <c r="G30" s="214">
        <v>-16016</v>
      </c>
      <c r="H30" s="214">
        <v>-26687</v>
      </c>
      <c r="I30" s="214">
        <v>-9904</v>
      </c>
      <c r="J30" s="214">
        <v>-40195</v>
      </c>
    </row>
    <row r="31" spans="1:10">
      <c r="A31" s="210" t="s">
        <v>349</v>
      </c>
      <c r="B31" s="211">
        <v>325</v>
      </c>
      <c r="C31" s="211">
        <v>181</v>
      </c>
      <c r="D31" s="212">
        <v>0</v>
      </c>
      <c r="E31" s="212">
        <v>181</v>
      </c>
      <c r="F31" s="211">
        <v>-203</v>
      </c>
      <c r="G31" s="211">
        <v>-148</v>
      </c>
      <c r="H31" s="211">
        <v>-19</v>
      </c>
      <c r="I31" s="211">
        <v>-245</v>
      </c>
      <c r="J31" s="211">
        <v>485</v>
      </c>
    </row>
    <row r="32" spans="1:10">
      <c r="A32" s="213" t="s">
        <v>224</v>
      </c>
      <c r="B32" s="214">
        <v>-3208</v>
      </c>
      <c r="C32" s="214">
        <v>-212415</v>
      </c>
      <c r="D32" s="215">
        <v>-205000</v>
      </c>
      <c r="E32" s="215">
        <v>-7415</v>
      </c>
      <c r="F32" s="214">
        <v>-8696</v>
      </c>
      <c r="G32" s="214">
        <v>-16164</v>
      </c>
      <c r="H32" s="214">
        <v>-26706</v>
      </c>
      <c r="I32" s="214">
        <v>-10149</v>
      </c>
      <c r="J32" s="214">
        <v>-39710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8:AM74"/>
  <sheetViews>
    <sheetView showGridLines="0" zoomScaleNormal="100" workbookViewId="0">
      <selection activeCell="C68" sqref="C11:C68"/>
    </sheetView>
  </sheetViews>
  <sheetFormatPr defaultColWidth="8.85546875" defaultRowHeight="12.75" outlineLevelCol="1"/>
  <cols>
    <col min="1" max="1" width="4" style="400" bestFit="1" customWidth="1"/>
    <col min="2" max="2" width="67" style="400" customWidth="1"/>
    <col min="3" max="3" width="11.7109375" style="400" bestFit="1" customWidth="1"/>
    <col min="4" max="7" width="11.7109375" style="400" customWidth="1"/>
    <col min="8" max="16" width="9.5703125" style="400" customWidth="1"/>
    <col min="17" max="23" width="9.5703125" style="400" hidden="1" customWidth="1" outlineLevel="1"/>
    <col min="24" max="24" width="14.140625" style="400" hidden="1" customWidth="1" outlineLevel="1"/>
    <col min="25" max="28" width="12.140625" style="401" hidden="1" customWidth="1" outlineLevel="1"/>
    <col min="29" max="32" width="12.140625" style="400" hidden="1" customWidth="1" outlineLevel="1"/>
    <col min="33" max="37" width="8.7109375" style="400" hidden="1" customWidth="1" outlineLevel="1"/>
    <col min="38" max="38" width="11.7109375" style="400" hidden="1" customWidth="1" outlineLevel="1"/>
    <col min="39" max="39" width="8.85546875" style="400" collapsed="1"/>
    <col min="40" max="16384" width="8.85546875" style="400"/>
  </cols>
  <sheetData>
    <row r="8" spans="1:38">
      <c r="A8" s="399" t="s">
        <v>461</v>
      </c>
    </row>
    <row r="9" spans="1:38" ht="13.5" thickBot="1"/>
    <row r="10" spans="1:38" s="256" customFormat="1" ht="14.25" thickTop="1" thickBot="1">
      <c r="X10" s="258" t="s">
        <v>506</v>
      </c>
    </row>
    <row r="11" spans="1:38" ht="39.75" customHeight="1" thickBot="1">
      <c r="A11" s="402" t="s">
        <v>387</v>
      </c>
      <c r="B11" s="402"/>
      <c r="C11" s="260" t="s">
        <v>597</v>
      </c>
      <c r="D11" s="403" t="s">
        <v>586</v>
      </c>
      <c r="E11" s="403" t="s">
        <v>584</v>
      </c>
      <c r="F11" s="403" t="s">
        <v>582</v>
      </c>
      <c r="G11" s="403" t="s">
        <v>579</v>
      </c>
      <c r="H11" s="403" t="s">
        <v>577</v>
      </c>
      <c r="I11" s="403" t="s">
        <v>576</v>
      </c>
      <c r="J11" s="403" t="s">
        <v>575</v>
      </c>
      <c r="K11" s="403" t="s">
        <v>547</v>
      </c>
      <c r="L11" s="403" t="s">
        <v>541</v>
      </c>
      <c r="M11" s="403" t="s">
        <v>534</v>
      </c>
      <c r="N11" s="403" t="s">
        <v>532</v>
      </c>
      <c r="O11" s="403" t="s">
        <v>531</v>
      </c>
      <c r="P11" s="403" t="s">
        <v>529</v>
      </c>
      <c r="Q11" s="403" t="s">
        <v>517</v>
      </c>
      <c r="R11" s="403" t="s">
        <v>516</v>
      </c>
      <c r="S11" s="403" t="s">
        <v>515</v>
      </c>
      <c r="T11" s="403" t="s">
        <v>511</v>
      </c>
      <c r="U11" s="403" t="s">
        <v>510</v>
      </c>
      <c r="V11" s="403" t="s">
        <v>509</v>
      </c>
      <c r="W11" s="403" t="s">
        <v>507</v>
      </c>
      <c r="X11" s="404" t="s">
        <v>504</v>
      </c>
      <c r="Y11" s="403" t="s">
        <v>504</v>
      </c>
      <c r="Z11" s="403" t="s">
        <v>496</v>
      </c>
      <c r="AA11" s="403" t="s">
        <v>493</v>
      </c>
      <c r="AB11" s="403" t="s">
        <v>492</v>
      </c>
      <c r="AC11" s="405" t="s">
        <v>490</v>
      </c>
      <c r="AD11" s="405" t="s">
        <v>486</v>
      </c>
      <c r="AE11" s="405" t="s">
        <v>484</v>
      </c>
      <c r="AF11" s="405" t="s">
        <v>483</v>
      </c>
      <c r="AG11" s="403" t="s">
        <v>478</v>
      </c>
      <c r="AH11" s="403" t="s">
        <v>465</v>
      </c>
      <c r="AI11" s="403" t="s">
        <v>308</v>
      </c>
      <c r="AJ11" s="403" t="s">
        <v>309</v>
      </c>
      <c r="AK11" s="405" t="s">
        <v>458</v>
      </c>
      <c r="AL11" s="405" t="s">
        <v>311</v>
      </c>
    </row>
    <row r="12" spans="1:38">
      <c r="A12" s="406" t="s">
        <v>4</v>
      </c>
      <c r="B12" s="407" t="s">
        <v>353</v>
      </c>
      <c r="C12" s="408">
        <v>11272596</v>
      </c>
      <c r="D12" s="409">
        <v>11681192</v>
      </c>
      <c r="E12" s="409">
        <v>10975627</v>
      </c>
      <c r="F12" s="409">
        <v>7585046</v>
      </c>
      <c r="G12" s="409">
        <v>7664753</v>
      </c>
      <c r="H12" s="409">
        <v>7887900</v>
      </c>
      <c r="I12" s="409">
        <v>8912266</v>
      </c>
      <c r="J12" s="409">
        <v>8554396</v>
      </c>
      <c r="K12" s="409">
        <v>10935217</v>
      </c>
      <c r="L12" s="409">
        <v>10085595</v>
      </c>
      <c r="M12" s="409">
        <v>11590509</v>
      </c>
      <c r="N12" s="409">
        <v>8378474</v>
      </c>
      <c r="O12" s="409">
        <v>16108463</v>
      </c>
      <c r="P12" s="409">
        <v>13997441</v>
      </c>
      <c r="Q12" s="410">
        <v>25659992</v>
      </c>
      <c r="R12" s="410">
        <v>1494366</v>
      </c>
      <c r="S12" s="410">
        <v>1260203</v>
      </c>
      <c r="T12" s="410">
        <v>1306282</v>
      </c>
      <c r="U12" s="410">
        <v>653111</v>
      </c>
      <c r="V12" s="410">
        <v>664507</v>
      </c>
      <c r="W12" s="410">
        <v>589022</v>
      </c>
      <c r="X12" s="411">
        <v>482192</v>
      </c>
      <c r="Y12" s="410">
        <v>482192</v>
      </c>
      <c r="Z12" s="410">
        <v>464244</v>
      </c>
      <c r="AA12" s="410">
        <v>460927</v>
      </c>
      <c r="AB12" s="410">
        <v>402042</v>
      </c>
      <c r="AC12" s="412">
        <v>566924</v>
      </c>
      <c r="AD12" s="412">
        <v>493538</v>
      </c>
      <c r="AE12" s="412">
        <v>395525</v>
      </c>
      <c r="AF12" s="412">
        <v>363073</v>
      </c>
      <c r="AG12" s="413">
        <v>459782</v>
      </c>
      <c r="AH12" s="413">
        <v>392189</v>
      </c>
      <c r="AI12" s="413">
        <v>353774</v>
      </c>
      <c r="AJ12" s="413">
        <v>337394</v>
      </c>
      <c r="AK12" s="412">
        <v>420299</v>
      </c>
      <c r="AL12" s="412">
        <v>420299</v>
      </c>
    </row>
    <row r="13" spans="1:38">
      <c r="A13" s="406" t="s">
        <v>6</v>
      </c>
      <c r="B13" s="407" t="s">
        <v>354</v>
      </c>
      <c r="C13" s="408">
        <v>2690249</v>
      </c>
      <c r="D13" s="409">
        <v>2585291</v>
      </c>
      <c r="E13" s="409">
        <v>2554337</v>
      </c>
      <c r="F13" s="409">
        <v>1786560</v>
      </c>
      <c r="G13" s="409">
        <v>1717655</v>
      </c>
      <c r="H13" s="409">
        <v>1602655</v>
      </c>
      <c r="I13" s="409">
        <v>1634576</v>
      </c>
      <c r="J13" s="409">
        <v>1642876</v>
      </c>
      <c r="K13" s="409">
        <v>1658258</v>
      </c>
      <c r="L13" s="409">
        <v>1544410</v>
      </c>
      <c r="M13" s="409">
        <v>1595527</v>
      </c>
      <c r="N13" s="409">
        <v>1584741</v>
      </c>
      <c r="O13" s="409">
        <v>1631287</v>
      </c>
      <c r="P13" s="409">
        <v>1584767</v>
      </c>
      <c r="Q13" s="410">
        <v>1524445</v>
      </c>
      <c r="R13" s="410">
        <v>1542406</v>
      </c>
      <c r="S13" s="410">
        <v>1281023</v>
      </c>
      <c r="T13" s="410">
        <v>1218535</v>
      </c>
      <c r="U13" s="410">
        <v>1161764</v>
      </c>
      <c r="V13" s="410">
        <v>1172039</v>
      </c>
      <c r="W13" s="410">
        <v>1311582</v>
      </c>
      <c r="X13" s="411">
        <v>1198601</v>
      </c>
      <c r="Y13" s="410">
        <v>1198601</v>
      </c>
      <c r="Z13" s="410">
        <v>1112157</v>
      </c>
      <c r="AA13" s="410">
        <v>1099178</v>
      </c>
      <c r="AB13" s="410">
        <v>1069556</v>
      </c>
      <c r="AC13" s="412">
        <v>1120111</v>
      </c>
      <c r="AD13" s="412">
        <v>1149223</v>
      </c>
      <c r="AE13" s="412">
        <v>1047721</v>
      </c>
      <c r="AF13" s="412">
        <v>1045996</v>
      </c>
      <c r="AG13" s="413">
        <v>1128625</v>
      </c>
      <c r="AH13" s="413">
        <v>1413653</v>
      </c>
      <c r="AI13" s="413">
        <v>1421443</v>
      </c>
      <c r="AJ13" s="413">
        <v>1246041</v>
      </c>
      <c r="AK13" s="412">
        <v>1293082</v>
      </c>
      <c r="AL13" s="412">
        <v>1326601</v>
      </c>
    </row>
    <row r="14" spans="1:38">
      <c r="A14" s="406"/>
      <c r="B14" s="414" t="s">
        <v>355</v>
      </c>
      <c r="C14" s="408">
        <v>1003824</v>
      </c>
      <c r="D14" s="409">
        <v>1020166</v>
      </c>
      <c r="E14" s="409">
        <v>913724</v>
      </c>
      <c r="F14" s="409">
        <v>803520</v>
      </c>
      <c r="G14" s="409">
        <v>744255</v>
      </c>
      <c r="H14" s="409">
        <v>664625</v>
      </c>
      <c r="I14" s="409">
        <v>677317</v>
      </c>
      <c r="J14" s="409">
        <v>733943</v>
      </c>
      <c r="K14" s="409">
        <v>766718</v>
      </c>
      <c r="L14" s="409">
        <v>672598</v>
      </c>
      <c r="M14" s="409">
        <v>731259</v>
      </c>
      <c r="N14" s="409">
        <v>723448</v>
      </c>
      <c r="O14" s="409">
        <v>715914</v>
      </c>
      <c r="P14" s="409">
        <v>707498</v>
      </c>
      <c r="Q14" s="410">
        <v>644603</v>
      </c>
      <c r="R14" s="410">
        <v>474834</v>
      </c>
      <c r="S14" s="410">
        <v>369175</v>
      </c>
      <c r="T14" s="410">
        <v>323721</v>
      </c>
      <c r="U14" s="410">
        <v>319284</v>
      </c>
      <c r="V14" s="410">
        <v>317324</v>
      </c>
      <c r="W14" s="410">
        <v>331893</v>
      </c>
      <c r="X14" s="411">
        <v>279009</v>
      </c>
      <c r="Y14" s="410">
        <v>279009</v>
      </c>
      <c r="Z14" s="410">
        <v>257216</v>
      </c>
      <c r="AA14" s="410">
        <v>236699</v>
      </c>
      <c r="AB14" s="410">
        <v>244181</v>
      </c>
      <c r="AC14" s="412">
        <v>270374</v>
      </c>
      <c r="AD14" s="412">
        <v>328291</v>
      </c>
      <c r="AE14" s="412">
        <v>270204</v>
      </c>
      <c r="AF14" s="412">
        <v>248886</v>
      </c>
      <c r="AG14" s="413">
        <v>247219</v>
      </c>
      <c r="AH14" s="413">
        <v>287687</v>
      </c>
      <c r="AI14" s="413">
        <v>350388</v>
      </c>
      <c r="AJ14" s="413">
        <v>411047</v>
      </c>
      <c r="AK14" s="412">
        <v>425424</v>
      </c>
      <c r="AL14" s="412">
        <v>425424</v>
      </c>
    </row>
    <row r="15" spans="1:38" ht="11.25" customHeight="1">
      <c r="A15" s="406"/>
      <c r="B15" s="414" t="s">
        <v>356</v>
      </c>
      <c r="C15" s="408">
        <v>0</v>
      </c>
      <c r="D15" s="409">
        <v>0</v>
      </c>
      <c r="E15" s="409">
        <v>0</v>
      </c>
      <c r="F15" s="409">
        <v>0</v>
      </c>
      <c r="G15" s="409">
        <v>0</v>
      </c>
      <c r="H15" s="409">
        <v>0</v>
      </c>
      <c r="I15" s="409">
        <v>0</v>
      </c>
      <c r="J15" s="409">
        <v>0</v>
      </c>
      <c r="K15" s="409">
        <v>0</v>
      </c>
      <c r="L15" s="409">
        <v>1991</v>
      </c>
      <c r="M15" s="409">
        <v>1969</v>
      </c>
      <c r="N15" s="409">
        <v>1945</v>
      </c>
      <c r="O15" s="409">
        <v>2391</v>
      </c>
      <c r="P15" s="409">
        <v>2381</v>
      </c>
      <c r="Q15" s="410">
        <v>2375</v>
      </c>
      <c r="R15" s="410">
        <v>129855</v>
      </c>
      <c r="S15" s="410">
        <v>128239</v>
      </c>
      <c r="T15" s="410">
        <v>125098</v>
      </c>
      <c r="U15" s="410">
        <v>123952</v>
      </c>
      <c r="V15" s="410">
        <v>125822</v>
      </c>
      <c r="W15" s="410">
        <v>124643</v>
      </c>
      <c r="X15" s="411">
        <v>127368</v>
      </c>
      <c r="Y15" s="410">
        <v>127368</v>
      </c>
      <c r="Z15" s="410">
        <v>126045</v>
      </c>
      <c r="AA15" s="410">
        <v>128690</v>
      </c>
      <c r="AB15" s="410">
        <v>127032</v>
      </c>
      <c r="AC15" s="412">
        <v>130955</v>
      </c>
      <c r="AD15" s="412">
        <v>131594</v>
      </c>
      <c r="AE15" s="412">
        <v>219702</v>
      </c>
      <c r="AF15" s="412">
        <v>217361</v>
      </c>
      <c r="AG15" s="413">
        <v>218662</v>
      </c>
      <c r="AH15" s="413">
        <v>216810</v>
      </c>
      <c r="AI15" s="413">
        <v>221625</v>
      </c>
      <c r="AJ15" s="413">
        <v>224689</v>
      </c>
      <c r="AK15" s="412">
        <v>223192</v>
      </c>
      <c r="AL15" s="412">
        <v>223192</v>
      </c>
    </row>
    <row r="16" spans="1:38">
      <c r="A16" s="406"/>
      <c r="B16" s="414" t="s">
        <v>357</v>
      </c>
      <c r="C16" s="408">
        <v>1686425</v>
      </c>
      <c r="D16" s="409">
        <v>1565125</v>
      </c>
      <c r="E16" s="409">
        <v>1640613</v>
      </c>
      <c r="F16" s="409">
        <v>983040</v>
      </c>
      <c r="G16" s="409">
        <v>973400</v>
      </c>
      <c r="H16" s="409">
        <v>938030</v>
      </c>
      <c r="I16" s="409">
        <v>957259</v>
      </c>
      <c r="J16" s="409">
        <v>908933</v>
      </c>
      <c r="K16" s="409">
        <v>891540</v>
      </c>
      <c r="L16" s="409">
        <v>869821</v>
      </c>
      <c r="M16" s="409">
        <v>862299</v>
      </c>
      <c r="N16" s="409">
        <v>859348</v>
      </c>
      <c r="O16" s="409">
        <v>912982</v>
      </c>
      <c r="P16" s="409">
        <v>874888</v>
      </c>
      <c r="Q16" s="410">
        <v>877467</v>
      </c>
      <c r="R16" s="410">
        <v>937717</v>
      </c>
      <c r="S16" s="410">
        <v>783609</v>
      </c>
      <c r="T16" s="410">
        <v>769716</v>
      </c>
      <c r="U16" s="410">
        <v>718528</v>
      </c>
      <c r="V16" s="410">
        <v>728893</v>
      </c>
      <c r="W16" s="410">
        <v>855046</v>
      </c>
      <c r="X16" s="411">
        <v>792224</v>
      </c>
      <c r="Y16" s="410">
        <v>792224</v>
      </c>
      <c r="Z16" s="410">
        <v>728896</v>
      </c>
      <c r="AA16" s="410">
        <v>733789</v>
      </c>
      <c r="AB16" s="410">
        <v>698343</v>
      </c>
      <c r="AC16" s="412">
        <v>718782</v>
      </c>
      <c r="AD16" s="412">
        <v>689338</v>
      </c>
      <c r="AE16" s="412">
        <v>557815</v>
      </c>
      <c r="AF16" s="412">
        <v>579749</v>
      </c>
      <c r="AG16" s="413">
        <v>662744</v>
      </c>
      <c r="AH16" s="413">
        <v>909156</v>
      </c>
      <c r="AI16" s="413">
        <v>849430</v>
      </c>
      <c r="AJ16" s="413">
        <v>610305</v>
      </c>
      <c r="AK16" s="412">
        <v>644466</v>
      </c>
      <c r="AL16" s="412">
        <v>677985</v>
      </c>
    </row>
    <row r="17" spans="1:38">
      <c r="A17" s="406" t="s">
        <v>8</v>
      </c>
      <c r="B17" s="415" t="s">
        <v>358</v>
      </c>
      <c r="C17" s="408">
        <v>6932930</v>
      </c>
      <c r="D17" s="409">
        <v>6995048</v>
      </c>
      <c r="E17" s="409">
        <v>7901438</v>
      </c>
      <c r="F17" s="409">
        <v>5376595</v>
      </c>
      <c r="G17" s="409">
        <v>5818464</v>
      </c>
      <c r="H17" s="409">
        <v>5694010</v>
      </c>
      <c r="I17" s="409">
        <v>5648152</v>
      </c>
      <c r="J17" s="409">
        <v>5121297</v>
      </c>
      <c r="K17" s="409">
        <v>5605948</v>
      </c>
      <c r="L17" s="409">
        <v>6859241</v>
      </c>
      <c r="M17" s="409">
        <v>7152656</v>
      </c>
      <c r="N17" s="409">
        <v>7264042</v>
      </c>
      <c r="O17" s="409">
        <v>7646253</v>
      </c>
      <c r="P17" s="409">
        <v>7962910</v>
      </c>
      <c r="Q17" s="410">
        <v>8279456</v>
      </c>
      <c r="R17" s="410">
        <v>8800035</v>
      </c>
      <c r="S17" s="410">
        <v>6348172</v>
      </c>
      <c r="T17" s="410">
        <v>6631897</v>
      </c>
      <c r="U17" s="410">
        <v>6374707</v>
      </c>
      <c r="V17" s="410">
        <v>6463827</v>
      </c>
      <c r="W17" s="410">
        <v>6332524</v>
      </c>
      <c r="X17" s="411">
        <v>6269818</v>
      </c>
      <c r="Y17" s="410">
        <v>6269818</v>
      </c>
      <c r="Z17" s="410">
        <v>6322985</v>
      </c>
      <c r="AA17" s="410">
        <v>6451484</v>
      </c>
      <c r="AB17" s="410">
        <v>6509863</v>
      </c>
      <c r="AC17" s="412">
        <v>6556202</v>
      </c>
      <c r="AD17" s="412">
        <v>6911141</v>
      </c>
      <c r="AE17" s="412">
        <v>7808130</v>
      </c>
      <c r="AF17" s="412">
        <v>8253832</v>
      </c>
      <c r="AG17" s="413">
        <v>8563992</v>
      </c>
      <c r="AH17" s="413">
        <v>9026242</v>
      </c>
      <c r="AI17" s="413">
        <v>9295682</v>
      </c>
      <c r="AJ17" s="413">
        <v>9864136</v>
      </c>
      <c r="AK17" s="412">
        <v>13550694</v>
      </c>
      <c r="AL17" s="412">
        <v>13398757</v>
      </c>
    </row>
    <row r="18" spans="1:38">
      <c r="A18" s="406" t="s">
        <v>9</v>
      </c>
      <c r="B18" s="407" t="s">
        <v>359</v>
      </c>
      <c r="C18" s="408">
        <v>170692790</v>
      </c>
      <c r="D18" s="409">
        <v>167539122</v>
      </c>
      <c r="E18" s="409">
        <v>163040683</v>
      </c>
      <c r="F18" s="409">
        <v>119093086</v>
      </c>
      <c r="G18" s="409">
        <v>114189311</v>
      </c>
      <c r="H18" s="409">
        <v>113550499</v>
      </c>
      <c r="I18" s="409">
        <v>111046710</v>
      </c>
      <c r="J18" s="409">
        <v>110447195</v>
      </c>
      <c r="K18" s="409">
        <v>108680549</v>
      </c>
      <c r="L18" s="409">
        <v>110189971</v>
      </c>
      <c r="M18" s="409">
        <v>109811124</v>
      </c>
      <c r="N18" s="409">
        <v>112730326</v>
      </c>
      <c r="O18" s="409">
        <v>113362881</v>
      </c>
      <c r="P18" s="409">
        <v>115311297</v>
      </c>
      <c r="Q18" s="410">
        <v>114831683</v>
      </c>
      <c r="R18" s="410">
        <v>138394961</v>
      </c>
      <c r="S18" s="410">
        <v>120322071</v>
      </c>
      <c r="T18" s="410">
        <v>121294912</v>
      </c>
      <c r="U18" s="410">
        <v>119504629</v>
      </c>
      <c r="V18" s="410">
        <v>120120146</v>
      </c>
      <c r="W18" s="410">
        <v>114813605</v>
      </c>
      <c r="X18" s="411">
        <v>79991505</v>
      </c>
      <c r="Y18" s="410">
        <v>79991505</v>
      </c>
      <c r="Z18" s="410">
        <v>75710690</v>
      </c>
      <c r="AA18" s="410">
        <v>72623513</v>
      </c>
      <c r="AB18" s="410">
        <v>67162227</v>
      </c>
      <c r="AC18" s="412">
        <v>65541246</v>
      </c>
      <c r="AD18" s="412">
        <v>66961934</v>
      </c>
      <c r="AE18" s="412">
        <v>57461564</v>
      </c>
      <c r="AF18" s="412">
        <v>56755813</v>
      </c>
      <c r="AG18" s="413">
        <v>56054342</v>
      </c>
      <c r="AH18" s="413">
        <v>55863032</v>
      </c>
      <c r="AI18" s="413">
        <v>54563163</v>
      </c>
      <c r="AJ18" s="413">
        <v>52937506</v>
      </c>
      <c r="AK18" s="412">
        <v>50427717</v>
      </c>
      <c r="AL18" s="412">
        <v>51561587</v>
      </c>
    </row>
    <row r="19" spans="1:38">
      <c r="A19" s="406"/>
      <c r="B19" s="414" t="s">
        <v>360</v>
      </c>
      <c r="C19" s="408">
        <v>10566868</v>
      </c>
      <c r="D19" s="409">
        <v>8324017</v>
      </c>
      <c r="E19" s="409">
        <v>8427631</v>
      </c>
      <c r="F19" s="409">
        <v>6850208</v>
      </c>
      <c r="G19" s="409">
        <v>6953683</v>
      </c>
      <c r="H19" s="409">
        <v>7681231</v>
      </c>
      <c r="I19" s="409">
        <v>7695419</v>
      </c>
      <c r="J19" s="409">
        <v>7599913</v>
      </c>
      <c r="K19" s="409">
        <v>7793974</v>
      </c>
      <c r="L19" s="409">
        <v>8382610</v>
      </c>
      <c r="M19" s="409">
        <v>8370659</v>
      </c>
      <c r="N19" s="409">
        <v>8646267</v>
      </c>
      <c r="O19" s="409">
        <v>9136997</v>
      </c>
      <c r="P19" s="409">
        <v>9482448</v>
      </c>
      <c r="Q19" s="410">
        <v>9469595</v>
      </c>
      <c r="R19" s="410">
        <v>32777265</v>
      </c>
      <c r="S19" s="410">
        <v>27355329</v>
      </c>
      <c r="T19" s="410">
        <v>27490676</v>
      </c>
      <c r="U19" s="410">
        <v>28755150</v>
      </c>
      <c r="V19" s="410">
        <v>29858919</v>
      </c>
      <c r="W19" s="410">
        <v>25879275</v>
      </c>
      <c r="X19" s="411">
        <v>14352731</v>
      </c>
      <c r="Y19" s="410">
        <v>14352731</v>
      </c>
      <c r="Z19" s="410">
        <v>11346389</v>
      </c>
      <c r="AA19" s="410">
        <v>9079123</v>
      </c>
      <c r="AB19" s="410">
        <v>7131752</v>
      </c>
      <c r="AC19" s="412">
        <v>5066379</v>
      </c>
      <c r="AD19" s="412">
        <v>6363946</v>
      </c>
      <c r="AE19" s="412">
        <v>5001079</v>
      </c>
      <c r="AF19" s="412">
        <v>4286323</v>
      </c>
      <c r="AG19" s="413">
        <v>3306678</v>
      </c>
      <c r="AH19" s="413">
        <v>5520689</v>
      </c>
      <c r="AI19" s="413">
        <v>4221694</v>
      </c>
      <c r="AJ19" s="413">
        <v>4232336</v>
      </c>
      <c r="AK19" s="412">
        <v>3196912</v>
      </c>
      <c r="AL19" s="412">
        <v>3205849</v>
      </c>
    </row>
    <row r="20" spans="1:38">
      <c r="A20" s="406"/>
      <c r="B20" s="414" t="s">
        <v>361</v>
      </c>
      <c r="C20" s="408">
        <v>160125922</v>
      </c>
      <c r="D20" s="409">
        <v>159215105</v>
      </c>
      <c r="E20" s="409">
        <v>154613052</v>
      </c>
      <c r="F20" s="409">
        <v>112242878</v>
      </c>
      <c r="G20" s="409">
        <v>107235628</v>
      </c>
      <c r="H20" s="409">
        <v>105869268</v>
      </c>
      <c r="I20" s="409">
        <v>103351291</v>
      </c>
      <c r="J20" s="409">
        <v>102847282</v>
      </c>
      <c r="K20" s="409">
        <v>100886575</v>
      </c>
      <c r="L20" s="409">
        <v>101807361</v>
      </c>
      <c r="M20" s="409">
        <v>101440465</v>
      </c>
      <c r="N20" s="409">
        <v>104084059</v>
      </c>
      <c r="O20" s="409">
        <v>104225884</v>
      </c>
      <c r="P20" s="409">
        <v>105828849</v>
      </c>
      <c r="Q20" s="410">
        <v>105362088</v>
      </c>
      <c r="R20" s="410">
        <v>105617696</v>
      </c>
      <c r="S20" s="410">
        <v>92966742</v>
      </c>
      <c r="T20" s="410">
        <v>93804236</v>
      </c>
      <c r="U20" s="410">
        <v>90749479</v>
      </c>
      <c r="V20" s="410">
        <v>90261227</v>
      </c>
      <c r="W20" s="410">
        <v>88934330</v>
      </c>
      <c r="X20" s="411">
        <v>65638774</v>
      </c>
      <c r="Y20" s="410">
        <v>65638774</v>
      </c>
      <c r="Z20" s="410">
        <v>64364301</v>
      </c>
      <c r="AA20" s="410">
        <v>63544390</v>
      </c>
      <c r="AB20" s="410">
        <v>60030475</v>
      </c>
      <c r="AC20" s="412">
        <v>60474867</v>
      </c>
      <c r="AD20" s="412">
        <v>60597988</v>
      </c>
      <c r="AE20" s="412">
        <v>52460485</v>
      </c>
      <c r="AF20" s="412">
        <v>52469490</v>
      </c>
      <c r="AG20" s="413">
        <v>52747664</v>
      </c>
      <c r="AH20" s="413">
        <v>50342343</v>
      </c>
      <c r="AI20" s="413">
        <v>50341469</v>
      </c>
      <c r="AJ20" s="413">
        <v>48705170</v>
      </c>
      <c r="AK20" s="412">
        <v>47230804</v>
      </c>
      <c r="AL20" s="412">
        <v>48355737</v>
      </c>
    </row>
    <row r="21" spans="1:38" ht="11.25" customHeight="1">
      <c r="A21" s="406" t="s">
        <v>11</v>
      </c>
      <c r="B21" s="407" t="s">
        <v>18</v>
      </c>
      <c r="C21" s="408">
        <v>761795</v>
      </c>
      <c r="D21" s="409">
        <v>779557</v>
      </c>
      <c r="E21" s="409">
        <v>653093</v>
      </c>
      <c r="F21" s="409">
        <v>629446</v>
      </c>
      <c r="G21" s="409">
        <v>626591</v>
      </c>
      <c r="H21" s="409">
        <v>649437</v>
      </c>
      <c r="I21" s="409">
        <v>796448</v>
      </c>
      <c r="J21" s="409">
        <v>953186</v>
      </c>
      <c r="K21" s="409">
        <v>921537</v>
      </c>
      <c r="L21" s="409">
        <v>1122566</v>
      </c>
      <c r="M21" s="409">
        <v>1690412</v>
      </c>
      <c r="N21" s="409">
        <v>1650822</v>
      </c>
      <c r="O21" s="409">
        <v>1688263</v>
      </c>
      <c r="P21" s="409">
        <v>1808515</v>
      </c>
      <c r="Q21" s="410">
        <v>1766702</v>
      </c>
      <c r="R21" s="410">
        <v>1227529</v>
      </c>
      <c r="S21" s="410">
        <v>579095</v>
      </c>
      <c r="T21" s="410">
        <v>178108</v>
      </c>
      <c r="U21" s="410">
        <v>135450</v>
      </c>
      <c r="V21" s="410">
        <v>121425</v>
      </c>
      <c r="W21" s="410">
        <v>127721</v>
      </c>
      <c r="X21" s="411">
        <v>57776</v>
      </c>
      <c r="Y21" s="410">
        <v>57776</v>
      </c>
      <c r="Z21" s="410">
        <v>49631</v>
      </c>
      <c r="AA21" s="410">
        <v>49653</v>
      </c>
      <c r="AB21" s="410">
        <v>53100</v>
      </c>
      <c r="AC21" s="412">
        <v>82185</v>
      </c>
      <c r="AD21" s="412">
        <v>65401</v>
      </c>
      <c r="AE21" s="412">
        <v>53567</v>
      </c>
      <c r="AF21" s="412">
        <v>33816</v>
      </c>
      <c r="AG21" s="413">
        <v>35564</v>
      </c>
      <c r="AH21" s="413">
        <v>57469</v>
      </c>
      <c r="AI21" s="413">
        <v>50066</v>
      </c>
      <c r="AJ21" s="413">
        <v>51075</v>
      </c>
      <c r="AK21" s="412">
        <v>54061</v>
      </c>
      <c r="AL21" s="412">
        <v>54061</v>
      </c>
    </row>
    <row r="22" spans="1:38">
      <c r="A22" s="406" t="s">
        <v>13</v>
      </c>
      <c r="B22" s="415" t="s">
        <v>362</v>
      </c>
      <c r="C22" s="408">
        <v>-85929</v>
      </c>
      <c r="D22" s="409">
        <v>-83799</v>
      </c>
      <c r="E22" s="409">
        <v>-27593</v>
      </c>
      <c r="F22" s="409">
        <v>-8767</v>
      </c>
      <c r="G22" s="409">
        <v>0</v>
      </c>
      <c r="H22" s="409">
        <v>0</v>
      </c>
      <c r="I22" s="409">
        <v>0</v>
      </c>
      <c r="J22" s="409">
        <v>0</v>
      </c>
      <c r="K22" s="409">
        <v>0</v>
      </c>
      <c r="L22" s="409">
        <v>0</v>
      </c>
      <c r="M22" s="409">
        <v>-22057</v>
      </c>
      <c r="N22" s="409">
        <v>1280</v>
      </c>
      <c r="O22" s="409">
        <v>0</v>
      </c>
      <c r="P22" s="409">
        <v>0</v>
      </c>
      <c r="Q22" s="410">
        <v>0</v>
      </c>
      <c r="R22" s="410">
        <v>0</v>
      </c>
      <c r="S22" s="410">
        <v>0</v>
      </c>
      <c r="T22" s="410">
        <v>0</v>
      </c>
      <c r="U22" s="410">
        <v>0</v>
      </c>
      <c r="V22" s="410">
        <v>0</v>
      </c>
      <c r="W22" s="410">
        <v>0</v>
      </c>
      <c r="X22" s="411">
        <v>0</v>
      </c>
      <c r="Y22" s="410">
        <v>0</v>
      </c>
      <c r="Z22" s="410">
        <v>0</v>
      </c>
      <c r="AA22" s="410">
        <v>0</v>
      </c>
      <c r="AB22" s="410">
        <v>0</v>
      </c>
      <c r="AC22" s="412">
        <v>0</v>
      </c>
      <c r="AD22" s="412">
        <v>0</v>
      </c>
      <c r="AE22" s="412">
        <v>0</v>
      </c>
      <c r="AF22" s="412">
        <v>0</v>
      </c>
      <c r="AG22" s="413">
        <v>0</v>
      </c>
      <c r="AH22" s="413">
        <v>0</v>
      </c>
      <c r="AI22" s="413">
        <v>0</v>
      </c>
      <c r="AJ22" s="413">
        <v>0</v>
      </c>
      <c r="AK22" s="412">
        <v>0</v>
      </c>
      <c r="AL22" s="412">
        <v>0</v>
      </c>
    </row>
    <row r="23" spans="1:38">
      <c r="A23" s="406" t="s">
        <v>15</v>
      </c>
      <c r="B23" s="407" t="s">
        <v>363</v>
      </c>
      <c r="C23" s="408">
        <v>895762</v>
      </c>
      <c r="D23" s="409">
        <v>869937</v>
      </c>
      <c r="E23" s="409">
        <v>575482</v>
      </c>
      <c r="F23" s="409">
        <v>305286</v>
      </c>
      <c r="G23" s="409">
        <v>307727</v>
      </c>
      <c r="H23" s="409">
        <v>302494</v>
      </c>
      <c r="I23" s="409">
        <v>460455</v>
      </c>
      <c r="J23" s="409">
        <v>458035</v>
      </c>
      <c r="K23" s="409">
        <v>462374</v>
      </c>
      <c r="L23" s="409">
        <v>422046</v>
      </c>
      <c r="M23" s="409">
        <v>412034</v>
      </c>
      <c r="N23" s="409">
        <v>361736</v>
      </c>
      <c r="O23" s="409">
        <v>389785</v>
      </c>
      <c r="P23" s="409">
        <v>376158</v>
      </c>
      <c r="Q23" s="410">
        <v>370927</v>
      </c>
      <c r="R23" s="410">
        <v>364347</v>
      </c>
      <c r="S23" s="410">
        <v>244196</v>
      </c>
      <c r="T23" s="410">
        <v>240534</v>
      </c>
      <c r="U23" s="410">
        <v>230738</v>
      </c>
      <c r="V23" s="410">
        <v>228451</v>
      </c>
      <c r="W23" s="410">
        <v>230247</v>
      </c>
      <c r="X23" s="411">
        <v>225558</v>
      </c>
      <c r="Y23" s="410">
        <v>225558</v>
      </c>
      <c r="Z23" s="410">
        <v>220254</v>
      </c>
      <c r="AA23" s="410">
        <v>218480</v>
      </c>
      <c r="AB23" s="410">
        <v>225358</v>
      </c>
      <c r="AC23" s="412">
        <v>225869</v>
      </c>
      <c r="AD23" s="412">
        <v>251613</v>
      </c>
      <c r="AE23" s="412">
        <v>453046</v>
      </c>
      <c r="AF23" s="412">
        <v>450000</v>
      </c>
      <c r="AG23" s="413">
        <v>446049</v>
      </c>
      <c r="AH23" s="413">
        <v>444844</v>
      </c>
      <c r="AI23" s="413">
        <v>448990</v>
      </c>
      <c r="AJ23" s="413">
        <v>456075</v>
      </c>
      <c r="AK23" s="412">
        <v>454367</v>
      </c>
      <c r="AL23" s="412">
        <v>454367</v>
      </c>
    </row>
    <row r="24" spans="1:38" hidden="1">
      <c r="A24" s="406" t="s">
        <v>17</v>
      </c>
      <c r="B24" s="407" t="s">
        <v>364</v>
      </c>
      <c r="C24" s="408">
        <v>0</v>
      </c>
      <c r="D24" s="409">
        <v>0</v>
      </c>
      <c r="E24" s="409">
        <v>0</v>
      </c>
      <c r="F24" s="409">
        <v>0</v>
      </c>
      <c r="G24" s="409">
        <v>0</v>
      </c>
      <c r="H24" s="409">
        <v>0</v>
      </c>
      <c r="I24" s="409">
        <v>0</v>
      </c>
      <c r="J24" s="409">
        <v>0</v>
      </c>
      <c r="K24" s="409">
        <v>0</v>
      </c>
      <c r="L24" s="409">
        <v>0</v>
      </c>
      <c r="M24" s="409">
        <v>0</v>
      </c>
      <c r="N24" s="409">
        <v>0</v>
      </c>
      <c r="O24" s="409">
        <v>0</v>
      </c>
      <c r="P24" s="409">
        <v>0</v>
      </c>
      <c r="Q24" s="410">
        <v>0</v>
      </c>
      <c r="R24" s="410">
        <v>0</v>
      </c>
      <c r="S24" s="410">
        <v>0</v>
      </c>
      <c r="T24" s="410">
        <v>0</v>
      </c>
      <c r="U24" s="410">
        <v>0</v>
      </c>
      <c r="V24" s="410">
        <v>0</v>
      </c>
      <c r="W24" s="410">
        <v>0</v>
      </c>
      <c r="X24" s="411">
        <v>0</v>
      </c>
      <c r="Y24" s="410">
        <v>0</v>
      </c>
      <c r="Z24" s="410">
        <v>0</v>
      </c>
      <c r="AA24" s="410">
        <v>0</v>
      </c>
      <c r="AB24" s="410">
        <v>0</v>
      </c>
      <c r="AC24" s="412">
        <v>0</v>
      </c>
      <c r="AD24" s="412">
        <v>0</v>
      </c>
      <c r="AE24" s="412">
        <v>0</v>
      </c>
      <c r="AF24" s="412">
        <v>0</v>
      </c>
      <c r="AG24" s="413">
        <v>0</v>
      </c>
      <c r="AH24" s="413">
        <v>0</v>
      </c>
      <c r="AI24" s="413">
        <v>0</v>
      </c>
      <c r="AJ24" s="413">
        <v>0</v>
      </c>
      <c r="AK24" s="412">
        <v>0</v>
      </c>
      <c r="AL24" s="412">
        <v>0</v>
      </c>
    </row>
    <row r="25" spans="1:38">
      <c r="A25" s="406" t="s">
        <v>41</v>
      </c>
      <c r="B25" s="407" t="s">
        <v>22</v>
      </c>
      <c r="C25" s="408">
        <v>3114948</v>
      </c>
      <c r="D25" s="409">
        <v>3132924</v>
      </c>
      <c r="E25" s="409">
        <v>3112196</v>
      </c>
      <c r="F25" s="409">
        <v>2454306</v>
      </c>
      <c r="G25" s="409">
        <v>2489375</v>
      </c>
      <c r="H25" s="409">
        <v>2502191</v>
      </c>
      <c r="I25" s="409">
        <v>2513148</v>
      </c>
      <c r="J25" s="409">
        <v>2538849</v>
      </c>
      <c r="K25" s="409">
        <v>2547591</v>
      </c>
      <c r="L25" s="409">
        <v>2456850</v>
      </c>
      <c r="M25" s="409">
        <v>2479234</v>
      </c>
      <c r="N25" s="409">
        <v>2495369</v>
      </c>
      <c r="O25" s="409">
        <v>2504243</v>
      </c>
      <c r="P25" s="409">
        <v>2546295</v>
      </c>
      <c r="Q25" s="410">
        <v>2612725</v>
      </c>
      <c r="R25" s="410">
        <v>2625704</v>
      </c>
      <c r="S25" s="410">
        <v>1947982</v>
      </c>
      <c r="T25" s="410">
        <v>1945000</v>
      </c>
      <c r="U25" s="410">
        <v>2050585</v>
      </c>
      <c r="V25" s="410">
        <v>2063260</v>
      </c>
      <c r="W25" s="410">
        <v>1882586</v>
      </c>
      <c r="X25" s="411">
        <v>1365705</v>
      </c>
      <c r="Y25" s="410">
        <v>1351480</v>
      </c>
      <c r="Z25" s="410">
        <v>1344461</v>
      </c>
      <c r="AA25" s="410">
        <v>1346093</v>
      </c>
      <c r="AB25" s="410">
        <v>1366608</v>
      </c>
      <c r="AC25" s="412">
        <v>1368696</v>
      </c>
      <c r="AD25" s="412">
        <v>1356757</v>
      </c>
      <c r="AE25" s="412">
        <v>1261800</v>
      </c>
      <c r="AF25" s="412">
        <v>1270023</v>
      </c>
      <c r="AG25" s="413">
        <v>1063273</v>
      </c>
      <c r="AH25" s="413">
        <v>1051767</v>
      </c>
      <c r="AI25" s="413">
        <v>1056260</v>
      </c>
      <c r="AJ25" s="413">
        <v>1057326</v>
      </c>
      <c r="AK25" s="412">
        <v>1063483</v>
      </c>
      <c r="AL25" s="412">
        <v>1063483</v>
      </c>
    </row>
    <row r="26" spans="1:38">
      <c r="A26" s="406" t="s">
        <v>19</v>
      </c>
      <c r="B26" s="407" t="s">
        <v>24</v>
      </c>
      <c r="C26" s="408">
        <v>1564769</v>
      </c>
      <c r="D26" s="409">
        <v>1608239</v>
      </c>
      <c r="E26" s="409">
        <v>1766491</v>
      </c>
      <c r="F26" s="409">
        <v>712669</v>
      </c>
      <c r="G26" s="409">
        <v>702681</v>
      </c>
      <c r="H26" s="409">
        <v>710763</v>
      </c>
      <c r="I26" s="409">
        <v>683486</v>
      </c>
      <c r="J26" s="409">
        <v>675890</v>
      </c>
      <c r="K26" s="409">
        <v>661080</v>
      </c>
      <c r="L26" s="409">
        <v>648981</v>
      </c>
      <c r="M26" s="409">
        <v>572170</v>
      </c>
      <c r="N26" s="409">
        <v>549910</v>
      </c>
      <c r="O26" s="409">
        <v>559551</v>
      </c>
      <c r="P26" s="409">
        <v>563502</v>
      </c>
      <c r="Q26" s="410">
        <v>488845</v>
      </c>
      <c r="R26" s="410">
        <v>476977</v>
      </c>
      <c r="S26" s="410">
        <v>463930</v>
      </c>
      <c r="T26" s="410">
        <v>459197</v>
      </c>
      <c r="U26" s="410">
        <v>478192</v>
      </c>
      <c r="V26" s="410">
        <v>473051</v>
      </c>
      <c r="W26" s="410">
        <v>465852</v>
      </c>
      <c r="X26" s="411">
        <v>702723</v>
      </c>
      <c r="Y26" s="410">
        <v>702723</v>
      </c>
      <c r="Z26" s="410">
        <v>660733</v>
      </c>
      <c r="AA26" s="410">
        <v>657953</v>
      </c>
      <c r="AB26" s="410">
        <v>660791</v>
      </c>
      <c r="AC26" s="412">
        <v>669847</v>
      </c>
      <c r="AD26" s="412">
        <v>612235</v>
      </c>
      <c r="AE26" s="412">
        <v>431922</v>
      </c>
      <c r="AF26" s="412">
        <v>438265</v>
      </c>
      <c r="AG26" s="413">
        <v>445689</v>
      </c>
      <c r="AH26" s="413">
        <v>495059</v>
      </c>
      <c r="AI26" s="413">
        <v>497340</v>
      </c>
      <c r="AJ26" s="413">
        <v>499403</v>
      </c>
      <c r="AK26" s="412">
        <v>506627</v>
      </c>
      <c r="AL26" s="412">
        <v>506627</v>
      </c>
    </row>
    <row r="27" spans="1:38">
      <c r="A27" s="406"/>
      <c r="B27" s="414" t="s">
        <v>365</v>
      </c>
      <c r="C27" s="408"/>
      <c r="D27" s="409"/>
      <c r="E27" s="409"/>
      <c r="F27" s="409"/>
      <c r="G27" s="409"/>
      <c r="H27" s="409"/>
      <c r="I27" s="409"/>
      <c r="J27" s="409"/>
      <c r="K27" s="409"/>
      <c r="L27" s="409"/>
      <c r="M27" s="409"/>
      <c r="N27" s="409"/>
      <c r="O27" s="409"/>
      <c r="P27" s="409"/>
      <c r="Q27" s="410"/>
      <c r="R27" s="410"/>
      <c r="S27" s="410"/>
      <c r="T27" s="410"/>
      <c r="U27" s="410"/>
      <c r="V27" s="410"/>
      <c r="W27" s="410"/>
      <c r="X27" s="411"/>
      <c r="Y27" s="410"/>
      <c r="Z27" s="410"/>
      <c r="AA27" s="410"/>
      <c r="AB27" s="410"/>
      <c r="AC27" s="412"/>
      <c r="AD27" s="412"/>
      <c r="AE27" s="412"/>
      <c r="AF27" s="412"/>
      <c r="AG27" s="413"/>
      <c r="AH27" s="413"/>
      <c r="AI27" s="413"/>
      <c r="AJ27" s="413"/>
      <c r="AK27" s="412"/>
      <c r="AL27" s="412"/>
    </row>
    <row r="28" spans="1:38">
      <c r="A28" s="406"/>
      <c r="B28" s="414" t="s">
        <v>366</v>
      </c>
      <c r="C28" s="416">
        <v>575706</v>
      </c>
      <c r="D28" s="409">
        <v>575706</v>
      </c>
      <c r="E28" s="409">
        <v>1201876</v>
      </c>
      <c r="F28" s="409">
        <v>170018</v>
      </c>
      <c r="G28" s="409">
        <v>170018</v>
      </c>
      <c r="H28" s="409">
        <v>170018</v>
      </c>
      <c r="I28" s="409">
        <v>170018</v>
      </c>
      <c r="J28" s="409">
        <v>170018</v>
      </c>
      <c r="K28" s="409">
        <v>170018</v>
      </c>
      <c r="L28" s="409">
        <v>170018</v>
      </c>
      <c r="M28" s="409">
        <v>197624</v>
      </c>
      <c r="N28" s="409">
        <v>197624</v>
      </c>
      <c r="O28" s="409">
        <v>204392</v>
      </c>
      <c r="P28" s="409">
        <v>204392</v>
      </c>
      <c r="Q28" s="410">
        <v>204392</v>
      </c>
      <c r="R28" s="410">
        <v>204392</v>
      </c>
      <c r="S28" s="410">
        <v>204392</v>
      </c>
      <c r="T28" s="410">
        <v>204392</v>
      </c>
      <c r="U28" s="410">
        <v>204392</v>
      </c>
      <c r="V28" s="410">
        <v>204392</v>
      </c>
      <c r="W28" s="410">
        <v>204392</v>
      </c>
      <c r="X28" s="411">
        <v>434758</v>
      </c>
      <c r="Y28" s="410">
        <v>434758</v>
      </c>
      <c r="Z28" s="410">
        <v>434758</v>
      </c>
      <c r="AA28" s="410">
        <v>434758</v>
      </c>
      <c r="AB28" s="410">
        <v>434758</v>
      </c>
      <c r="AC28" s="412">
        <v>434758</v>
      </c>
      <c r="AD28" s="412">
        <v>434758</v>
      </c>
      <c r="AE28" s="412">
        <v>264740</v>
      </c>
      <c r="AF28" s="412">
        <v>264740</v>
      </c>
      <c r="AG28" s="413">
        <v>264740</v>
      </c>
      <c r="AH28" s="413">
        <v>327084</v>
      </c>
      <c r="AI28" s="413">
        <v>327084</v>
      </c>
      <c r="AJ28" s="413">
        <v>327084</v>
      </c>
      <c r="AK28" s="412">
        <v>327084</v>
      </c>
      <c r="AL28" s="412">
        <v>327084</v>
      </c>
    </row>
    <row r="29" spans="1:38">
      <c r="A29" s="406" t="s">
        <v>44</v>
      </c>
      <c r="B29" s="407" t="s">
        <v>26</v>
      </c>
      <c r="C29" s="408">
        <v>1560750</v>
      </c>
      <c r="D29" s="409">
        <v>1690772</v>
      </c>
      <c r="E29" s="409">
        <v>1529273</v>
      </c>
      <c r="F29" s="409">
        <v>1460441</v>
      </c>
      <c r="G29" s="409">
        <v>1564517</v>
      </c>
      <c r="H29" s="409">
        <v>1776893</v>
      </c>
      <c r="I29" s="409">
        <v>2150244</v>
      </c>
      <c r="J29" s="409">
        <v>2489987</v>
      </c>
      <c r="K29" s="409">
        <v>2507967</v>
      </c>
      <c r="L29" s="409">
        <v>2711737</v>
      </c>
      <c r="M29" s="409">
        <v>2618698</v>
      </c>
      <c r="N29" s="409">
        <v>2779849</v>
      </c>
      <c r="O29" s="409">
        <v>2878301</v>
      </c>
      <c r="P29" s="409">
        <v>2931538</v>
      </c>
      <c r="Q29" s="410">
        <v>2851817</v>
      </c>
      <c r="R29" s="410">
        <v>2958733</v>
      </c>
      <c r="S29" s="410">
        <v>1770586</v>
      </c>
      <c r="T29" s="410">
        <v>1784995</v>
      </c>
      <c r="U29" s="410">
        <v>1751665</v>
      </c>
      <c r="V29" s="410">
        <v>1734135</v>
      </c>
      <c r="W29" s="410">
        <v>1821199</v>
      </c>
      <c r="X29" s="411">
        <v>1821199</v>
      </c>
      <c r="Y29" s="410">
        <v>2007073</v>
      </c>
      <c r="Z29" s="410">
        <v>1925563</v>
      </c>
      <c r="AA29" s="410">
        <v>2047161</v>
      </c>
      <c r="AB29" s="410">
        <v>1965794</v>
      </c>
      <c r="AC29" s="412">
        <v>2024579</v>
      </c>
      <c r="AD29" s="412">
        <v>1960020</v>
      </c>
      <c r="AE29" s="412">
        <v>1868566</v>
      </c>
      <c r="AF29" s="412">
        <v>1795587</v>
      </c>
      <c r="AG29" s="413">
        <v>1885616</v>
      </c>
      <c r="AH29" s="413">
        <v>1746815</v>
      </c>
      <c r="AI29" s="413">
        <v>1734961</v>
      </c>
      <c r="AJ29" s="413">
        <v>1742211</v>
      </c>
      <c r="AK29" s="412">
        <v>1845611</v>
      </c>
      <c r="AL29" s="412">
        <v>1848127</v>
      </c>
    </row>
    <row r="30" spans="1:38" ht="11.25" customHeight="1">
      <c r="A30" s="406"/>
      <c r="B30" s="414" t="s">
        <v>367</v>
      </c>
      <c r="C30" s="408">
        <v>146515</v>
      </c>
      <c r="D30" s="409">
        <v>242663</v>
      </c>
      <c r="E30" s="409">
        <v>209311</v>
      </c>
      <c r="F30" s="409">
        <v>309380</v>
      </c>
      <c r="G30" s="409">
        <v>288601</v>
      </c>
      <c r="H30" s="409">
        <v>392729</v>
      </c>
      <c r="I30" s="409">
        <v>692835</v>
      </c>
      <c r="J30" s="409">
        <v>883039</v>
      </c>
      <c r="K30" s="409">
        <v>792135</v>
      </c>
      <c r="L30" s="409">
        <v>877248</v>
      </c>
      <c r="M30" s="409">
        <v>912882</v>
      </c>
      <c r="N30" s="409">
        <v>921560</v>
      </c>
      <c r="O30" s="409">
        <v>956254</v>
      </c>
      <c r="P30" s="409">
        <v>579149</v>
      </c>
      <c r="Q30" s="410">
        <v>643076</v>
      </c>
      <c r="R30" s="410">
        <v>780618</v>
      </c>
      <c r="S30" s="410">
        <v>386887</v>
      </c>
      <c r="T30" s="410">
        <v>410514</v>
      </c>
      <c r="U30" s="410">
        <v>325691</v>
      </c>
      <c r="V30" s="410">
        <v>277732</v>
      </c>
      <c r="W30" s="410">
        <v>338967</v>
      </c>
      <c r="X30" s="411">
        <v>418174</v>
      </c>
      <c r="Y30" s="410">
        <v>418174</v>
      </c>
      <c r="Z30" s="410">
        <v>332827</v>
      </c>
      <c r="AA30" s="410">
        <v>439769</v>
      </c>
      <c r="AB30" s="410">
        <v>361964</v>
      </c>
      <c r="AC30" s="412">
        <v>466312</v>
      </c>
      <c r="AD30" s="412">
        <v>390182</v>
      </c>
      <c r="AE30" s="412">
        <v>458612</v>
      </c>
      <c r="AF30" s="412">
        <v>384245</v>
      </c>
      <c r="AG30" s="413">
        <v>457838</v>
      </c>
      <c r="AH30" s="413">
        <v>370396</v>
      </c>
      <c r="AI30" s="413">
        <v>454139</v>
      </c>
      <c r="AJ30" s="413">
        <v>476721</v>
      </c>
      <c r="AK30" s="412">
        <v>575441</v>
      </c>
      <c r="AL30" s="412">
        <v>575441</v>
      </c>
    </row>
    <row r="31" spans="1:38" s="417" customFormat="1">
      <c r="A31" s="406"/>
      <c r="B31" s="414" t="s">
        <v>368</v>
      </c>
      <c r="C31" s="408">
        <v>1414235</v>
      </c>
      <c r="D31" s="409">
        <v>1448109</v>
      </c>
      <c r="E31" s="409">
        <v>1319962</v>
      </c>
      <c r="F31" s="409">
        <v>1151061</v>
      </c>
      <c r="G31" s="409">
        <v>1275916</v>
      </c>
      <c r="H31" s="409">
        <v>1384164</v>
      </c>
      <c r="I31" s="409">
        <v>1457409</v>
      </c>
      <c r="J31" s="409">
        <v>1606948</v>
      </c>
      <c r="K31" s="409">
        <v>1715832</v>
      </c>
      <c r="L31" s="409">
        <v>1834489</v>
      </c>
      <c r="M31" s="409">
        <v>1705816</v>
      </c>
      <c r="N31" s="409">
        <v>1858289</v>
      </c>
      <c r="O31" s="409">
        <v>1922047</v>
      </c>
      <c r="P31" s="409">
        <v>2352389</v>
      </c>
      <c r="Q31" s="410">
        <v>2208741</v>
      </c>
      <c r="R31" s="410">
        <v>2178115</v>
      </c>
      <c r="S31" s="410">
        <v>1383699</v>
      </c>
      <c r="T31" s="410">
        <v>1374481</v>
      </c>
      <c r="U31" s="410">
        <v>1425974</v>
      </c>
      <c r="V31" s="410">
        <v>1456403</v>
      </c>
      <c r="W31" s="410">
        <v>1482232</v>
      </c>
      <c r="X31" s="411">
        <v>1584866</v>
      </c>
      <c r="Y31" s="410">
        <v>1588899</v>
      </c>
      <c r="Z31" s="410">
        <v>1592736</v>
      </c>
      <c r="AA31" s="410">
        <v>1607392</v>
      </c>
      <c r="AB31" s="410">
        <v>1603830</v>
      </c>
      <c r="AC31" s="412">
        <v>1558267</v>
      </c>
      <c r="AD31" s="412">
        <v>1569838</v>
      </c>
      <c r="AE31" s="412">
        <v>1409954</v>
      </c>
      <c r="AF31" s="412">
        <v>1411342</v>
      </c>
      <c r="AG31" s="413">
        <v>1427778</v>
      </c>
      <c r="AH31" s="413">
        <v>1376419</v>
      </c>
      <c r="AI31" s="413">
        <v>1280822</v>
      </c>
      <c r="AJ31" s="413">
        <v>1265490</v>
      </c>
      <c r="AK31" s="412">
        <v>1270170</v>
      </c>
      <c r="AL31" s="412">
        <v>1272686</v>
      </c>
    </row>
    <row r="32" spans="1:38">
      <c r="A32" s="406" t="s">
        <v>21</v>
      </c>
      <c r="B32" s="407" t="s">
        <v>30</v>
      </c>
      <c r="C32" s="408">
        <v>334548</v>
      </c>
      <c r="D32" s="409">
        <v>345782</v>
      </c>
      <c r="E32" s="409">
        <v>5494417</v>
      </c>
      <c r="F32" s="409">
        <v>51599</v>
      </c>
      <c r="G32" s="409">
        <v>36106</v>
      </c>
      <c r="H32" s="409">
        <v>41020</v>
      </c>
      <c r="I32" s="409">
        <v>19750</v>
      </c>
      <c r="J32" s="409">
        <v>20404</v>
      </c>
      <c r="K32" s="409">
        <v>16557</v>
      </c>
      <c r="L32" s="409">
        <v>13969</v>
      </c>
      <c r="M32" s="409">
        <v>23892</v>
      </c>
      <c r="N32" s="409">
        <v>50046</v>
      </c>
      <c r="O32" s="409">
        <v>22332</v>
      </c>
      <c r="P32" s="409">
        <v>1192429</v>
      </c>
      <c r="Q32" s="410">
        <v>1323139</v>
      </c>
      <c r="R32" s="410">
        <v>1331302</v>
      </c>
      <c r="S32" s="410">
        <v>97963</v>
      </c>
      <c r="T32" s="410">
        <v>97730</v>
      </c>
      <c r="U32" s="410">
        <v>97127</v>
      </c>
      <c r="V32" s="410">
        <v>99527</v>
      </c>
      <c r="W32" s="410">
        <v>99425</v>
      </c>
      <c r="X32" s="411">
        <v>99467</v>
      </c>
      <c r="Y32" s="410">
        <v>98714</v>
      </c>
      <c r="Z32" s="410">
        <v>97691</v>
      </c>
      <c r="AA32" s="410">
        <v>96124</v>
      </c>
      <c r="AB32" s="410">
        <v>94149</v>
      </c>
      <c r="AC32" s="412">
        <v>97142</v>
      </c>
      <c r="AD32" s="412">
        <v>5346</v>
      </c>
      <c r="AE32" s="412">
        <v>5288</v>
      </c>
      <c r="AF32" s="412">
        <v>5298</v>
      </c>
      <c r="AG32" s="413">
        <v>2800</v>
      </c>
      <c r="AH32" s="413">
        <v>0</v>
      </c>
      <c r="AI32" s="413">
        <v>0</v>
      </c>
      <c r="AJ32" s="413">
        <v>0</v>
      </c>
      <c r="AK32" s="412">
        <v>0</v>
      </c>
      <c r="AL32" s="412">
        <v>0</v>
      </c>
    </row>
    <row r="33" spans="1:38">
      <c r="A33" s="406" t="s">
        <v>23</v>
      </c>
      <c r="B33" s="407" t="s">
        <v>32</v>
      </c>
      <c r="C33" s="408">
        <v>7143470</v>
      </c>
      <c r="D33" s="409">
        <v>7505895</v>
      </c>
      <c r="E33" s="409">
        <v>7264275</v>
      </c>
      <c r="F33" s="409">
        <v>5081903</v>
      </c>
      <c r="G33" s="409">
        <v>6839322</v>
      </c>
      <c r="H33" s="409">
        <v>5873570</v>
      </c>
      <c r="I33" s="409">
        <v>6070265</v>
      </c>
      <c r="J33" s="409">
        <v>6495238</v>
      </c>
      <c r="K33" s="409">
        <v>6072001</v>
      </c>
      <c r="L33" s="409">
        <v>6072993</v>
      </c>
      <c r="M33" s="409">
        <v>5532621</v>
      </c>
      <c r="N33" s="409">
        <v>5245583</v>
      </c>
      <c r="O33" s="409">
        <v>4347843</v>
      </c>
      <c r="P33" s="409">
        <v>4027942</v>
      </c>
      <c r="Q33" s="410">
        <v>3244531</v>
      </c>
      <c r="R33" s="410">
        <v>2462709</v>
      </c>
      <c r="S33" s="410">
        <v>1506691</v>
      </c>
      <c r="T33" s="410">
        <v>1190683</v>
      </c>
      <c r="U33" s="410">
        <v>1736344</v>
      </c>
      <c r="V33" s="410">
        <v>1661255</v>
      </c>
      <c r="W33" s="410">
        <v>1325136</v>
      </c>
      <c r="X33" s="411">
        <v>665398</v>
      </c>
      <c r="Y33" s="410">
        <v>665398</v>
      </c>
      <c r="Z33" s="410">
        <v>709580</v>
      </c>
      <c r="AA33" s="410">
        <v>884981</v>
      </c>
      <c r="AB33" s="410">
        <v>589828</v>
      </c>
      <c r="AC33" s="412">
        <v>780697</v>
      </c>
      <c r="AD33" s="412">
        <v>928218</v>
      </c>
      <c r="AE33" s="412">
        <v>795539</v>
      </c>
      <c r="AF33" s="412">
        <v>685706</v>
      </c>
      <c r="AG33" s="413">
        <v>549035</v>
      </c>
      <c r="AH33" s="413">
        <v>730807</v>
      </c>
      <c r="AI33" s="413">
        <v>875056</v>
      </c>
      <c r="AJ33" s="413">
        <v>747027</v>
      </c>
      <c r="AK33" s="412">
        <v>704899</v>
      </c>
      <c r="AL33" s="412">
        <v>704899</v>
      </c>
    </row>
    <row r="34" spans="1:38">
      <c r="A34" s="418"/>
      <c r="B34" s="419" t="s">
        <v>369</v>
      </c>
      <c r="C34" s="420">
        <v>206878678</v>
      </c>
      <c r="D34" s="421">
        <v>204649960</v>
      </c>
      <c r="E34" s="421">
        <v>204839719</v>
      </c>
      <c r="F34" s="421">
        <v>144528170</v>
      </c>
      <c r="G34" s="421">
        <v>141956502</v>
      </c>
      <c r="H34" s="421">
        <v>140591432</v>
      </c>
      <c r="I34" s="421">
        <v>139935500</v>
      </c>
      <c r="J34" s="421">
        <v>139397353</v>
      </c>
      <c r="K34" s="421">
        <v>140069079</v>
      </c>
      <c r="L34" s="421">
        <v>142128359</v>
      </c>
      <c r="M34" s="421">
        <v>143456820</v>
      </c>
      <c r="N34" s="421">
        <v>143092178</v>
      </c>
      <c r="O34" s="421">
        <v>151139202</v>
      </c>
      <c r="P34" s="421">
        <v>152302794</v>
      </c>
      <c r="Q34" s="422">
        <v>162954262</v>
      </c>
      <c r="R34" s="422">
        <v>161679069</v>
      </c>
      <c r="S34" s="422">
        <v>135821912</v>
      </c>
      <c r="T34" s="422">
        <v>136347873</v>
      </c>
      <c r="U34" s="422">
        <v>134174312</v>
      </c>
      <c r="V34" s="422">
        <v>134801623</v>
      </c>
      <c r="W34" s="422">
        <v>128998899</v>
      </c>
      <c r="X34" s="423">
        <v>93061783</v>
      </c>
      <c r="Y34" s="422">
        <v>93050838</v>
      </c>
      <c r="Z34" s="422">
        <v>88617989</v>
      </c>
      <c r="AA34" s="422">
        <v>85935547</v>
      </c>
      <c r="AB34" s="422">
        <v>80099316</v>
      </c>
      <c r="AC34" s="424">
        <v>79033498</v>
      </c>
      <c r="AD34" s="424">
        <v>80695426</v>
      </c>
      <c r="AE34" s="424">
        <v>71582668</v>
      </c>
      <c r="AF34" s="424">
        <v>71097409</v>
      </c>
      <c r="AG34" s="425">
        <v>70634767</v>
      </c>
      <c r="AH34" s="425">
        <v>71221877</v>
      </c>
      <c r="AI34" s="425">
        <v>70296735</v>
      </c>
      <c r="AJ34" s="425">
        <v>68938194</v>
      </c>
      <c r="AK34" s="424">
        <v>70320839</v>
      </c>
      <c r="AL34" s="424">
        <v>71338807</v>
      </c>
    </row>
    <row r="35" spans="1:38">
      <c r="C35" s="401"/>
      <c r="D35" s="401"/>
      <c r="E35" s="401"/>
      <c r="F35" s="401"/>
      <c r="G35" s="401"/>
      <c r="H35" s="401"/>
      <c r="I35" s="401"/>
      <c r="J35" s="401"/>
      <c r="K35" s="401"/>
      <c r="L35" s="401"/>
      <c r="M35" s="401"/>
      <c r="N35" s="401"/>
      <c r="O35" s="401"/>
      <c r="P35" s="401"/>
      <c r="Q35" s="401"/>
      <c r="R35" s="401"/>
      <c r="S35" s="401"/>
      <c r="T35" s="401"/>
      <c r="U35" s="401"/>
      <c r="V35" s="401"/>
      <c r="W35" s="401"/>
      <c r="X35" s="426"/>
    </row>
    <row r="36" spans="1:38" ht="23.25" customHeight="1" thickBot="1">
      <c r="C36" s="401"/>
      <c r="D36" s="401"/>
      <c r="E36" s="401"/>
      <c r="F36" s="401"/>
      <c r="G36" s="401"/>
      <c r="H36" s="401"/>
      <c r="I36" s="401"/>
      <c r="J36" s="401"/>
      <c r="K36" s="401"/>
      <c r="L36" s="401"/>
      <c r="M36" s="401"/>
      <c r="N36" s="401"/>
      <c r="O36" s="401"/>
      <c r="P36" s="401"/>
      <c r="Q36" s="401"/>
      <c r="R36" s="401"/>
      <c r="S36" s="401"/>
      <c r="T36" s="401"/>
      <c r="U36" s="401"/>
      <c r="V36" s="401"/>
      <c r="W36" s="401"/>
      <c r="X36" s="426"/>
      <c r="Y36" s="401" t="s">
        <v>457</v>
      </c>
      <c r="Z36" s="401" t="s">
        <v>457</v>
      </c>
    </row>
    <row r="37" spans="1:38" ht="39" customHeight="1" thickBot="1">
      <c r="A37" s="402" t="s">
        <v>34</v>
      </c>
      <c r="B37" s="402"/>
      <c r="C37" s="260" t="s">
        <v>597</v>
      </c>
      <c r="D37" s="403" t="s">
        <v>586</v>
      </c>
      <c r="E37" s="403" t="s">
        <v>584</v>
      </c>
      <c r="F37" s="403" t="s">
        <v>582</v>
      </c>
      <c r="G37" s="403" t="s">
        <v>579</v>
      </c>
      <c r="H37" s="403" t="s">
        <v>577</v>
      </c>
      <c r="I37" s="403" t="s">
        <v>576</v>
      </c>
      <c r="J37" s="403" t="s">
        <v>575</v>
      </c>
      <c r="K37" s="403" t="s">
        <v>547</v>
      </c>
      <c r="L37" s="403" t="s">
        <v>541</v>
      </c>
      <c r="M37" s="403" t="s">
        <v>534</v>
      </c>
      <c r="N37" s="403" t="s">
        <v>532</v>
      </c>
      <c r="O37" s="403" t="s">
        <v>531</v>
      </c>
      <c r="P37" s="403" t="s">
        <v>529</v>
      </c>
      <c r="Q37" s="403" t="s">
        <v>517</v>
      </c>
      <c r="R37" s="403" t="s">
        <v>516</v>
      </c>
      <c r="S37" s="403" t="s">
        <v>515</v>
      </c>
      <c r="T37" s="403" t="s">
        <v>511</v>
      </c>
      <c r="U37" s="403" t="s">
        <v>510</v>
      </c>
      <c r="V37" s="403" t="s">
        <v>509</v>
      </c>
      <c r="W37" s="403" t="s">
        <v>507</v>
      </c>
      <c r="X37" s="404" t="s">
        <v>504</v>
      </c>
      <c r="Y37" s="403" t="s">
        <v>504</v>
      </c>
      <c r="Z37" s="403" t="s">
        <v>496</v>
      </c>
      <c r="AA37" s="403" t="s">
        <v>493</v>
      </c>
      <c r="AB37" s="403" t="s">
        <v>492</v>
      </c>
      <c r="AC37" s="405" t="s">
        <v>490</v>
      </c>
      <c r="AD37" s="405" t="s">
        <v>486</v>
      </c>
      <c r="AE37" s="405" t="s">
        <v>484</v>
      </c>
      <c r="AF37" s="405" t="s">
        <v>483</v>
      </c>
      <c r="AG37" s="403" t="s">
        <v>478</v>
      </c>
      <c r="AH37" s="403" t="s">
        <v>465</v>
      </c>
      <c r="AI37" s="403" t="s">
        <v>308</v>
      </c>
      <c r="AJ37" s="403" t="s">
        <v>309</v>
      </c>
      <c r="AK37" s="405" t="s">
        <v>310</v>
      </c>
      <c r="AL37" s="405" t="s">
        <v>311</v>
      </c>
    </row>
    <row r="38" spans="1:38">
      <c r="A38" s="427" t="s">
        <v>4</v>
      </c>
      <c r="B38" s="407" t="s">
        <v>370</v>
      </c>
      <c r="C38" s="408">
        <v>175468431</v>
      </c>
      <c r="D38" s="428">
        <v>175298947</v>
      </c>
      <c r="E38" s="428">
        <v>171390713</v>
      </c>
      <c r="F38" s="428">
        <v>121558126</v>
      </c>
      <c r="G38" s="428">
        <v>119008934</v>
      </c>
      <c r="H38" s="428">
        <v>120453180</v>
      </c>
      <c r="I38" s="428">
        <v>119161722</v>
      </c>
      <c r="J38" s="428">
        <v>120488719</v>
      </c>
      <c r="K38" s="428">
        <v>121511264</v>
      </c>
      <c r="L38" s="428">
        <v>124511471</v>
      </c>
      <c r="M38" s="428">
        <v>127401282</v>
      </c>
      <c r="N38" s="428">
        <v>124755409</v>
      </c>
      <c r="O38" s="428">
        <v>134533828</v>
      </c>
      <c r="P38" s="428">
        <v>135952323</v>
      </c>
      <c r="Q38" s="428">
        <v>145251650</v>
      </c>
      <c r="R38" s="428">
        <v>142750150</v>
      </c>
      <c r="S38" s="428">
        <v>122733053</v>
      </c>
      <c r="T38" s="428">
        <v>124854511</v>
      </c>
      <c r="U38" s="428">
        <v>121031362</v>
      </c>
      <c r="V38" s="428">
        <v>121052368</v>
      </c>
      <c r="W38" s="428">
        <v>116558126</v>
      </c>
      <c r="X38" s="429">
        <v>83177191</v>
      </c>
      <c r="Y38" s="428">
        <v>83177191</v>
      </c>
      <c r="Z38" s="428">
        <v>78830382</v>
      </c>
      <c r="AA38" s="428">
        <v>76278205</v>
      </c>
      <c r="AB38" s="428">
        <v>71100285</v>
      </c>
      <c r="AC38" s="430">
        <v>70135262</v>
      </c>
      <c r="AD38" s="430">
        <v>70520235</v>
      </c>
      <c r="AE38" s="430">
        <v>63533803</v>
      </c>
      <c r="AF38" s="430">
        <v>63655143</v>
      </c>
      <c r="AG38" s="431">
        <v>63122667</v>
      </c>
      <c r="AH38" s="431">
        <v>63914611</v>
      </c>
      <c r="AI38" s="431">
        <v>62502252</v>
      </c>
      <c r="AJ38" s="432">
        <v>61545420</v>
      </c>
      <c r="AK38" s="430">
        <v>63231158</v>
      </c>
      <c r="AL38" s="430">
        <v>63230643</v>
      </c>
    </row>
    <row r="39" spans="1:38">
      <c r="A39" s="427"/>
      <c r="B39" s="407" t="s">
        <v>371</v>
      </c>
      <c r="C39" s="408">
        <v>12537267</v>
      </c>
      <c r="D39" s="428">
        <v>10095677</v>
      </c>
      <c r="E39" s="428">
        <v>8980274</v>
      </c>
      <c r="F39" s="428">
        <v>3921622</v>
      </c>
      <c r="G39" s="428">
        <v>4571591</v>
      </c>
      <c r="H39" s="428">
        <v>5047675</v>
      </c>
      <c r="I39" s="428">
        <v>5001753</v>
      </c>
      <c r="J39" s="428">
        <v>5334790</v>
      </c>
      <c r="K39" s="428">
        <v>5642919</v>
      </c>
      <c r="L39" s="428">
        <v>7754450</v>
      </c>
      <c r="M39" s="428">
        <v>9040536</v>
      </c>
      <c r="N39" s="428">
        <v>12507921</v>
      </c>
      <c r="O39" s="428">
        <v>22329839</v>
      </c>
      <c r="P39" s="428">
        <v>22000489</v>
      </c>
      <c r="Q39" s="428">
        <v>29173060</v>
      </c>
      <c r="R39" s="428">
        <v>28756017</v>
      </c>
      <c r="S39" s="428">
        <v>23871648</v>
      </c>
      <c r="T39" s="428">
        <v>23633494</v>
      </c>
      <c r="U39" s="428">
        <v>23273048</v>
      </c>
      <c r="V39" s="428">
        <v>22710245</v>
      </c>
      <c r="W39" s="428">
        <v>22258572</v>
      </c>
      <c r="X39" s="429">
        <v>20180999</v>
      </c>
      <c r="Y39" s="428">
        <v>20180999</v>
      </c>
      <c r="Z39" s="428">
        <v>19188980</v>
      </c>
      <c r="AA39" s="428">
        <v>16600757</v>
      </c>
      <c r="AB39" s="428">
        <v>14092713</v>
      </c>
      <c r="AC39" s="430">
        <v>12213133</v>
      </c>
      <c r="AD39" s="430">
        <v>12353388</v>
      </c>
      <c r="AE39" s="430">
        <v>12504749</v>
      </c>
      <c r="AF39" s="430">
        <v>13033898</v>
      </c>
      <c r="AG39" s="431">
        <v>13126248</v>
      </c>
      <c r="AH39" s="431">
        <v>12730558</v>
      </c>
      <c r="AI39" s="431">
        <v>12622968</v>
      </c>
      <c r="AJ39" s="432">
        <v>12626209</v>
      </c>
      <c r="AK39" s="430">
        <v>12984226</v>
      </c>
      <c r="AL39" s="430">
        <v>12984226</v>
      </c>
    </row>
    <row r="40" spans="1:38">
      <c r="A40" s="427"/>
      <c r="B40" s="407" t="s">
        <v>372</v>
      </c>
      <c r="C40" s="408">
        <v>147315414</v>
      </c>
      <c r="D40" s="428">
        <v>150762018</v>
      </c>
      <c r="E40" s="428">
        <v>147389176</v>
      </c>
      <c r="F40" s="428">
        <v>107425700</v>
      </c>
      <c r="G40" s="428">
        <v>103807867</v>
      </c>
      <c r="H40" s="428">
        <v>104250319</v>
      </c>
      <c r="I40" s="428">
        <v>102711043</v>
      </c>
      <c r="J40" s="428">
        <v>104378673</v>
      </c>
      <c r="K40" s="428">
        <v>103766272</v>
      </c>
      <c r="L40" s="428">
        <v>104854552</v>
      </c>
      <c r="M40" s="428">
        <v>107693964</v>
      </c>
      <c r="N40" s="428">
        <v>103410428</v>
      </c>
      <c r="O40" s="428">
        <v>104959275</v>
      </c>
      <c r="P40" s="428">
        <v>107414943</v>
      </c>
      <c r="Q40" s="428">
        <v>109628998</v>
      </c>
      <c r="R40" s="428">
        <v>107628871</v>
      </c>
      <c r="S40" s="428">
        <v>94308506</v>
      </c>
      <c r="T40" s="428">
        <v>96460612</v>
      </c>
      <c r="U40" s="428">
        <v>93078547</v>
      </c>
      <c r="V40" s="428">
        <v>93612623</v>
      </c>
      <c r="W40" s="428">
        <v>89229714</v>
      </c>
      <c r="X40" s="429">
        <v>58314002</v>
      </c>
      <c r="Y40" s="428">
        <v>58314002</v>
      </c>
      <c r="Z40" s="428">
        <v>55006699</v>
      </c>
      <c r="AA40" s="428">
        <v>54320207</v>
      </c>
      <c r="AB40" s="428">
        <v>51572044</v>
      </c>
      <c r="AC40" s="430">
        <v>52087240</v>
      </c>
      <c r="AD40" s="430">
        <v>51769432</v>
      </c>
      <c r="AE40" s="430">
        <v>45465848</v>
      </c>
      <c r="AF40" s="430">
        <v>44796953</v>
      </c>
      <c r="AG40" s="431">
        <v>44594863</v>
      </c>
      <c r="AH40" s="431">
        <v>44387688</v>
      </c>
      <c r="AI40" s="431">
        <v>43291051</v>
      </c>
      <c r="AJ40" s="432">
        <v>41900213</v>
      </c>
      <c r="AK40" s="430">
        <v>42694078</v>
      </c>
      <c r="AL40" s="430">
        <v>42694078</v>
      </c>
    </row>
    <row r="41" spans="1:38">
      <c r="A41" s="427"/>
      <c r="B41" s="407" t="s">
        <v>373</v>
      </c>
      <c r="C41" s="408">
        <v>15615750</v>
      </c>
      <c r="D41" s="428">
        <v>14441252</v>
      </c>
      <c r="E41" s="428">
        <v>15021263</v>
      </c>
      <c r="F41" s="428">
        <v>10210804</v>
      </c>
      <c r="G41" s="428">
        <v>10629476</v>
      </c>
      <c r="H41" s="428">
        <v>11155186</v>
      </c>
      <c r="I41" s="428">
        <v>11448926</v>
      </c>
      <c r="J41" s="428">
        <v>10775256</v>
      </c>
      <c r="K41" s="428">
        <v>12102073</v>
      </c>
      <c r="L41" s="428">
        <v>11902469</v>
      </c>
      <c r="M41" s="428">
        <v>10666782</v>
      </c>
      <c r="N41" s="428">
        <v>8837060</v>
      </c>
      <c r="O41" s="428">
        <v>7244714</v>
      </c>
      <c r="P41" s="428">
        <v>6536891</v>
      </c>
      <c r="Q41" s="428">
        <v>6449592</v>
      </c>
      <c r="R41" s="428">
        <v>6365262</v>
      </c>
      <c r="S41" s="428">
        <v>4552899</v>
      </c>
      <c r="T41" s="428">
        <v>4760405</v>
      </c>
      <c r="U41" s="428">
        <v>4679767</v>
      </c>
      <c r="V41" s="428">
        <v>4729500</v>
      </c>
      <c r="W41" s="428">
        <v>5069840</v>
      </c>
      <c r="X41" s="429">
        <v>4682190</v>
      </c>
      <c r="Y41" s="428">
        <v>4682190</v>
      </c>
      <c r="Z41" s="428">
        <v>4634703</v>
      </c>
      <c r="AA41" s="428">
        <v>5357241</v>
      </c>
      <c r="AB41" s="428">
        <v>5435528</v>
      </c>
      <c r="AC41" s="430">
        <v>5834889</v>
      </c>
      <c r="AD41" s="430">
        <v>6397415</v>
      </c>
      <c r="AE41" s="430">
        <v>5563206</v>
      </c>
      <c r="AF41" s="430">
        <v>5824292</v>
      </c>
      <c r="AG41" s="431">
        <v>5401556</v>
      </c>
      <c r="AH41" s="431">
        <v>6796365</v>
      </c>
      <c r="AI41" s="431">
        <v>6588233</v>
      </c>
      <c r="AJ41" s="432">
        <v>7018998</v>
      </c>
      <c r="AK41" s="430">
        <v>7552854</v>
      </c>
      <c r="AL41" s="430">
        <v>7552339</v>
      </c>
    </row>
    <row r="42" spans="1:38">
      <c r="A42" s="427" t="s">
        <v>6</v>
      </c>
      <c r="B42" s="407" t="s">
        <v>38</v>
      </c>
      <c r="C42" s="408">
        <v>436893</v>
      </c>
      <c r="D42" s="428">
        <v>316687</v>
      </c>
      <c r="E42" s="428">
        <v>236666</v>
      </c>
      <c r="F42" s="428">
        <v>216620</v>
      </c>
      <c r="G42" s="428">
        <v>209329</v>
      </c>
      <c r="H42" s="428">
        <v>224294</v>
      </c>
      <c r="I42" s="428">
        <v>246948</v>
      </c>
      <c r="J42" s="428">
        <v>286473</v>
      </c>
      <c r="K42" s="428">
        <v>296639</v>
      </c>
      <c r="L42" s="428">
        <v>300955</v>
      </c>
      <c r="M42" s="428">
        <v>425494</v>
      </c>
      <c r="N42" s="428">
        <v>439184</v>
      </c>
      <c r="O42" s="428">
        <v>436310</v>
      </c>
      <c r="P42" s="428">
        <v>471598</v>
      </c>
      <c r="Q42" s="428">
        <v>467251</v>
      </c>
      <c r="R42" s="428">
        <v>318158</v>
      </c>
      <c r="S42" s="428">
        <v>175013</v>
      </c>
      <c r="T42" s="428">
        <v>123957</v>
      </c>
      <c r="U42" s="428">
        <v>122314</v>
      </c>
      <c r="V42" s="428">
        <v>138979</v>
      </c>
      <c r="W42" s="428">
        <v>147324</v>
      </c>
      <c r="X42" s="429">
        <v>170094</v>
      </c>
      <c r="Y42" s="428">
        <v>170094</v>
      </c>
      <c r="Z42" s="428">
        <v>167410</v>
      </c>
      <c r="AA42" s="428">
        <v>166835</v>
      </c>
      <c r="AB42" s="428">
        <v>164498</v>
      </c>
      <c r="AC42" s="430">
        <v>165970</v>
      </c>
      <c r="AD42" s="430">
        <v>247347</v>
      </c>
      <c r="AE42" s="430">
        <v>220086</v>
      </c>
      <c r="AF42" s="430">
        <v>167982</v>
      </c>
      <c r="AG42" s="431">
        <v>143824</v>
      </c>
      <c r="AH42" s="431">
        <v>150490</v>
      </c>
      <c r="AI42" s="431">
        <v>241013</v>
      </c>
      <c r="AJ42" s="432">
        <v>315365</v>
      </c>
      <c r="AK42" s="430">
        <v>170046</v>
      </c>
      <c r="AL42" s="430">
        <v>170046</v>
      </c>
    </row>
    <row r="43" spans="1:38">
      <c r="A43" s="427" t="s">
        <v>8</v>
      </c>
      <c r="B43" s="407" t="s">
        <v>374</v>
      </c>
      <c r="C43" s="408">
        <v>3600021</v>
      </c>
      <c r="D43" s="428">
        <v>3467869</v>
      </c>
      <c r="E43" s="428">
        <v>3340053</v>
      </c>
      <c r="F43" s="428">
        <v>3200404</v>
      </c>
      <c r="G43" s="428">
        <v>3000741</v>
      </c>
      <c r="H43" s="428">
        <v>2712050</v>
      </c>
      <c r="I43" s="428">
        <v>2466934</v>
      </c>
      <c r="J43" s="428">
        <v>2410825</v>
      </c>
      <c r="K43" s="428">
        <v>2227188</v>
      </c>
      <c r="L43" s="428">
        <v>2009641</v>
      </c>
      <c r="M43" s="428">
        <v>1766690</v>
      </c>
      <c r="N43" s="428">
        <v>1425321</v>
      </c>
      <c r="O43" s="428">
        <v>1277088</v>
      </c>
      <c r="P43" s="428">
        <v>879198</v>
      </c>
      <c r="Q43" s="428">
        <v>600250</v>
      </c>
      <c r="R43" s="428">
        <v>494900</v>
      </c>
      <c r="S43" s="428">
        <v>349905</v>
      </c>
      <c r="T43" s="428">
        <v>0</v>
      </c>
      <c r="U43" s="428">
        <v>0</v>
      </c>
      <c r="V43" s="428">
        <v>0</v>
      </c>
      <c r="W43" s="428">
        <v>0</v>
      </c>
      <c r="X43" s="429">
        <v>0</v>
      </c>
      <c r="Y43" s="428">
        <v>0</v>
      </c>
      <c r="Z43" s="428">
        <v>0</v>
      </c>
      <c r="AA43" s="428">
        <v>0</v>
      </c>
      <c r="AB43" s="428">
        <v>0</v>
      </c>
      <c r="AC43" s="430">
        <v>0</v>
      </c>
      <c r="AD43" s="430">
        <v>0</v>
      </c>
      <c r="AE43" s="430">
        <v>0</v>
      </c>
      <c r="AF43" s="430">
        <v>0</v>
      </c>
      <c r="AG43" s="431">
        <v>0</v>
      </c>
      <c r="AH43" s="431">
        <v>0</v>
      </c>
      <c r="AI43" s="431">
        <v>0</v>
      </c>
      <c r="AJ43" s="432">
        <v>0</v>
      </c>
      <c r="AK43" s="430">
        <v>0</v>
      </c>
      <c r="AL43" s="430">
        <v>0</v>
      </c>
    </row>
    <row r="44" spans="1:38">
      <c r="A44" s="427" t="s">
        <v>9</v>
      </c>
      <c r="B44" s="407" t="s">
        <v>18</v>
      </c>
      <c r="C44" s="408">
        <v>92737</v>
      </c>
      <c r="D44" s="428">
        <v>101261</v>
      </c>
      <c r="E44" s="428">
        <v>145900</v>
      </c>
      <c r="F44" s="428">
        <v>159706</v>
      </c>
      <c r="G44" s="428">
        <v>168571</v>
      </c>
      <c r="H44" s="428">
        <v>226324</v>
      </c>
      <c r="I44" s="428">
        <v>247941</v>
      </c>
      <c r="J44" s="428">
        <v>237356</v>
      </c>
      <c r="K44" s="428">
        <v>255735</v>
      </c>
      <c r="L44" s="428">
        <v>266558</v>
      </c>
      <c r="M44" s="428">
        <v>311753</v>
      </c>
      <c r="N44" s="428">
        <v>362859</v>
      </c>
      <c r="O44" s="428">
        <v>387334</v>
      </c>
      <c r="P44" s="428">
        <v>512981</v>
      </c>
      <c r="Q44" s="428">
        <v>588668</v>
      </c>
      <c r="R44" s="428">
        <v>472637</v>
      </c>
      <c r="S44" s="428">
        <v>149861</v>
      </c>
      <c r="T44" s="428">
        <v>249178</v>
      </c>
      <c r="U44" s="428">
        <v>293020</v>
      </c>
      <c r="V44" s="428">
        <v>327519</v>
      </c>
      <c r="W44" s="428">
        <v>344047</v>
      </c>
      <c r="X44" s="429">
        <v>469240</v>
      </c>
      <c r="Y44" s="428">
        <v>469240</v>
      </c>
      <c r="Z44" s="428">
        <v>459681</v>
      </c>
      <c r="AA44" s="428">
        <v>444191</v>
      </c>
      <c r="AB44" s="428">
        <v>396146</v>
      </c>
      <c r="AC44" s="430">
        <v>294114</v>
      </c>
      <c r="AD44" s="430">
        <v>419671</v>
      </c>
      <c r="AE44" s="430">
        <v>306649</v>
      </c>
      <c r="AF44" s="430">
        <v>206666</v>
      </c>
      <c r="AG44" s="431">
        <v>92374</v>
      </c>
      <c r="AH44" s="431">
        <v>27812</v>
      </c>
      <c r="AI44" s="431">
        <v>42918</v>
      </c>
      <c r="AJ44" s="432">
        <v>18898</v>
      </c>
      <c r="AK44" s="430">
        <v>23795</v>
      </c>
      <c r="AL44" s="430">
        <v>23795</v>
      </c>
    </row>
    <row r="45" spans="1:38" ht="14.25" customHeight="1">
      <c r="A45" s="427" t="s">
        <v>11</v>
      </c>
      <c r="B45" s="407" t="s">
        <v>375</v>
      </c>
      <c r="C45" s="408">
        <v>-44425</v>
      </c>
      <c r="D45" s="428">
        <v>-43704</v>
      </c>
      <c r="E45" s="428">
        <v>-49953</v>
      </c>
      <c r="F45" s="428">
        <v>-54921</v>
      </c>
      <c r="G45" s="428">
        <v>-70040</v>
      </c>
      <c r="H45" s="428">
        <v>-81843</v>
      </c>
      <c r="I45" s="428">
        <v>-96244</v>
      </c>
      <c r="J45" s="428">
        <v>-143947</v>
      </c>
      <c r="K45" s="428">
        <v>-154369</v>
      </c>
      <c r="L45" s="428">
        <v>-155184</v>
      </c>
      <c r="M45" s="428">
        <v>-230206</v>
      </c>
      <c r="N45" s="428">
        <v>-251116</v>
      </c>
      <c r="O45" s="428">
        <v>-255051</v>
      </c>
      <c r="P45" s="428">
        <v>-281292</v>
      </c>
      <c r="Q45" s="428">
        <v>-274609</v>
      </c>
      <c r="R45" s="428">
        <v>-171866</v>
      </c>
      <c r="S45" s="428">
        <v>-91810</v>
      </c>
      <c r="T45" s="428">
        <v>0</v>
      </c>
      <c r="U45" s="428">
        <v>0</v>
      </c>
      <c r="V45" s="428">
        <v>0</v>
      </c>
      <c r="W45" s="428">
        <v>0</v>
      </c>
      <c r="X45" s="429">
        <v>0</v>
      </c>
      <c r="Y45" s="428">
        <v>0</v>
      </c>
      <c r="Z45" s="428">
        <v>0</v>
      </c>
      <c r="AA45" s="428">
        <v>0</v>
      </c>
      <c r="AB45" s="428">
        <v>0</v>
      </c>
      <c r="AC45" s="430">
        <v>0</v>
      </c>
      <c r="AD45" s="430">
        <v>0</v>
      </c>
      <c r="AE45" s="430">
        <v>0</v>
      </c>
      <c r="AF45" s="430">
        <v>0</v>
      </c>
      <c r="AG45" s="431">
        <v>0</v>
      </c>
      <c r="AH45" s="431">
        <v>0</v>
      </c>
      <c r="AI45" s="431">
        <v>0</v>
      </c>
      <c r="AJ45" s="432">
        <v>0</v>
      </c>
      <c r="AK45" s="430">
        <v>0</v>
      </c>
      <c r="AL45" s="430">
        <v>0</v>
      </c>
    </row>
    <row r="46" spans="1:38">
      <c r="A46" s="427" t="s">
        <v>13</v>
      </c>
      <c r="B46" s="407" t="s">
        <v>39</v>
      </c>
      <c r="C46" s="408">
        <v>861729</v>
      </c>
      <c r="D46" s="428">
        <v>644338</v>
      </c>
      <c r="E46" s="428">
        <v>533464</v>
      </c>
      <c r="F46" s="428">
        <v>132839</v>
      </c>
      <c r="G46" s="428">
        <v>169060</v>
      </c>
      <c r="H46" s="428">
        <v>72289</v>
      </c>
      <c r="I46" s="428">
        <v>169340</v>
      </c>
      <c r="J46" s="428">
        <v>103191</v>
      </c>
      <c r="K46" s="428">
        <v>94906</v>
      </c>
      <c r="L46" s="428">
        <v>67412</v>
      </c>
      <c r="M46" s="428">
        <v>73226</v>
      </c>
      <c r="N46" s="428">
        <v>65200</v>
      </c>
      <c r="O46" s="428">
        <v>71291</v>
      </c>
      <c r="P46" s="428">
        <v>71562</v>
      </c>
      <c r="Q46" s="428">
        <v>84355</v>
      </c>
      <c r="R46" s="428">
        <v>109990</v>
      </c>
      <c r="S46" s="428">
        <v>64212</v>
      </c>
      <c r="T46" s="428">
        <v>68502</v>
      </c>
      <c r="U46" s="428">
        <v>206482</v>
      </c>
      <c r="V46" s="428">
        <v>197530</v>
      </c>
      <c r="W46" s="428">
        <v>182836</v>
      </c>
      <c r="X46" s="429">
        <v>82318</v>
      </c>
      <c r="Y46" s="428">
        <v>74748</v>
      </c>
      <c r="Z46" s="428">
        <v>65112</v>
      </c>
      <c r="AA46" s="428">
        <v>68487</v>
      </c>
      <c r="AB46" s="428">
        <v>73586</v>
      </c>
      <c r="AC46" s="430">
        <v>75737</v>
      </c>
      <c r="AD46" s="430">
        <v>89467</v>
      </c>
      <c r="AE46" s="430">
        <v>65674</v>
      </c>
      <c r="AF46" s="430">
        <v>64473</v>
      </c>
      <c r="AG46" s="431">
        <v>62644</v>
      </c>
      <c r="AH46" s="431">
        <v>85569</v>
      </c>
      <c r="AI46" s="431">
        <v>90764</v>
      </c>
      <c r="AJ46" s="432">
        <v>109027</v>
      </c>
      <c r="AK46" s="430">
        <v>157257</v>
      </c>
      <c r="AL46" s="430">
        <v>106218</v>
      </c>
    </row>
    <row r="47" spans="1:38">
      <c r="A47" s="427"/>
      <c r="B47" s="407" t="s">
        <v>367</v>
      </c>
      <c r="C47" s="408">
        <v>496381</v>
      </c>
      <c r="D47" s="428">
        <v>249286</v>
      </c>
      <c r="E47" s="428">
        <v>380672</v>
      </c>
      <c r="F47" s="428">
        <v>66615</v>
      </c>
      <c r="G47" s="428">
        <v>112725</v>
      </c>
      <c r="H47" s="428">
        <v>15184</v>
      </c>
      <c r="I47" s="428">
        <v>110999</v>
      </c>
      <c r="J47" s="428">
        <v>48125</v>
      </c>
      <c r="K47" s="428">
        <v>39710</v>
      </c>
      <c r="L47" s="428">
        <v>10641</v>
      </c>
      <c r="M47" s="428">
        <v>15659</v>
      </c>
      <c r="N47" s="428">
        <v>8829</v>
      </c>
      <c r="O47" s="428">
        <v>12984</v>
      </c>
      <c r="P47" s="428">
        <v>8174</v>
      </c>
      <c r="Q47" s="428">
        <v>26074</v>
      </c>
      <c r="R47" s="428">
        <v>47070</v>
      </c>
      <c r="S47" s="428">
        <v>10031</v>
      </c>
      <c r="T47" s="428">
        <v>9598</v>
      </c>
      <c r="U47" s="428">
        <v>125842</v>
      </c>
      <c r="V47" s="428">
        <v>116092</v>
      </c>
      <c r="W47" s="428">
        <v>97569</v>
      </c>
      <c r="X47" s="429">
        <v>4797</v>
      </c>
      <c r="Y47" s="428">
        <v>4797</v>
      </c>
      <c r="Z47" s="428">
        <v>6838</v>
      </c>
      <c r="AA47" s="428">
        <v>13973</v>
      </c>
      <c r="AB47" s="428">
        <v>14359</v>
      </c>
      <c r="AC47" s="430">
        <v>5405</v>
      </c>
      <c r="AD47" s="430">
        <v>29538</v>
      </c>
      <c r="AE47" s="430">
        <v>6527</v>
      </c>
      <c r="AF47" s="430">
        <v>5118</v>
      </c>
      <c r="AG47" s="431">
        <v>3966</v>
      </c>
      <c r="AH47" s="431">
        <v>4356</v>
      </c>
      <c r="AI47" s="431">
        <v>3724</v>
      </c>
      <c r="AJ47" s="432">
        <v>3360</v>
      </c>
      <c r="AK47" s="430">
        <v>2636</v>
      </c>
      <c r="AL47" s="430">
        <v>2258</v>
      </c>
    </row>
    <row r="48" spans="1:38">
      <c r="A48" s="427"/>
      <c r="B48" s="407" t="s">
        <v>376</v>
      </c>
      <c r="C48" s="408">
        <v>365348</v>
      </c>
      <c r="D48" s="428">
        <v>395052</v>
      </c>
      <c r="E48" s="428">
        <v>152792</v>
      </c>
      <c r="F48" s="428">
        <v>66224</v>
      </c>
      <c r="G48" s="428">
        <v>56335</v>
      </c>
      <c r="H48" s="428">
        <v>57105</v>
      </c>
      <c r="I48" s="428">
        <v>58341</v>
      </c>
      <c r="J48" s="428">
        <v>55066</v>
      </c>
      <c r="K48" s="428">
        <v>55196</v>
      </c>
      <c r="L48" s="428">
        <v>56771</v>
      </c>
      <c r="M48" s="428">
        <v>57567</v>
      </c>
      <c r="N48" s="428">
        <v>56371</v>
      </c>
      <c r="O48" s="428">
        <v>58307</v>
      </c>
      <c r="P48" s="428">
        <v>63388</v>
      </c>
      <c r="Q48" s="428">
        <v>58281</v>
      </c>
      <c r="R48" s="428">
        <v>62920</v>
      </c>
      <c r="S48" s="428">
        <v>54181</v>
      </c>
      <c r="T48" s="428">
        <v>58904</v>
      </c>
      <c r="U48" s="428">
        <v>80640</v>
      </c>
      <c r="V48" s="428">
        <v>81438</v>
      </c>
      <c r="W48" s="428">
        <v>85267</v>
      </c>
      <c r="X48" s="429">
        <v>77521</v>
      </c>
      <c r="Y48" s="428">
        <v>69951</v>
      </c>
      <c r="Z48" s="428">
        <v>58274</v>
      </c>
      <c r="AA48" s="428">
        <v>54514</v>
      </c>
      <c r="AB48" s="428">
        <v>59227</v>
      </c>
      <c r="AC48" s="430">
        <v>70332</v>
      </c>
      <c r="AD48" s="430">
        <v>59929</v>
      </c>
      <c r="AE48" s="430">
        <v>59147</v>
      </c>
      <c r="AF48" s="430">
        <v>59355</v>
      </c>
      <c r="AG48" s="431">
        <v>58678</v>
      </c>
      <c r="AH48" s="431">
        <v>81213</v>
      </c>
      <c r="AI48" s="431">
        <v>87040</v>
      </c>
      <c r="AJ48" s="432">
        <v>105667</v>
      </c>
      <c r="AK48" s="430">
        <v>154620</v>
      </c>
      <c r="AL48" s="430">
        <v>103960</v>
      </c>
    </row>
    <row r="49" spans="1:38">
      <c r="A49" s="427" t="s">
        <v>15</v>
      </c>
      <c r="B49" s="407" t="s">
        <v>42</v>
      </c>
      <c r="C49" s="408">
        <v>392921</v>
      </c>
      <c r="D49" s="428">
        <v>403081</v>
      </c>
      <c r="E49" s="428">
        <v>3831042</v>
      </c>
      <c r="F49" s="428">
        <v>5332</v>
      </c>
      <c r="G49" s="428">
        <v>5125</v>
      </c>
      <c r="H49" s="428">
        <v>5067</v>
      </c>
      <c r="I49" s="428">
        <v>0</v>
      </c>
      <c r="J49" s="428">
        <v>0</v>
      </c>
      <c r="K49" s="428">
        <v>0</v>
      </c>
      <c r="L49" s="428">
        <v>0</v>
      </c>
      <c r="M49" s="428">
        <v>0</v>
      </c>
      <c r="N49" s="428">
        <v>0</v>
      </c>
      <c r="O49" s="428">
        <v>0</v>
      </c>
      <c r="P49" s="428">
        <v>1430197</v>
      </c>
      <c r="Q49" s="428">
        <v>1520101</v>
      </c>
      <c r="R49" s="428">
        <v>1504013</v>
      </c>
      <c r="S49" s="428">
        <v>166751</v>
      </c>
      <c r="T49" s="428">
        <v>173662</v>
      </c>
      <c r="U49" s="428">
        <v>166164</v>
      </c>
      <c r="V49" s="428">
        <v>161932</v>
      </c>
      <c r="W49" s="428">
        <v>142631</v>
      </c>
      <c r="X49" s="429">
        <v>144809</v>
      </c>
      <c r="Y49" s="428">
        <v>144809</v>
      </c>
      <c r="Z49" s="428">
        <v>139340</v>
      </c>
      <c r="AA49" s="428">
        <v>137964</v>
      </c>
      <c r="AB49" s="428">
        <v>129457</v>
      </c>
      <c r="AC49" s="430">
        <v>134077</v>
      </c>
      <c r="AD49" s="430">
        <v>0</v>
      </c>
      <c r="AE49" s="430">
        <v>0</v>
      </c>
      <c r="AF49" s="430">
        <v>0</v>
      </c>
      <c r="AG49" s="431">
        <v>0</v>
      </c>
      <c r="AH49" s="431">
        <v>0</v>
      </c>
      <c r="AI49" s="431">
        <v>0</v>
      </c>
      <c r="AJ49" s="432">
        <v>0</v>
      </c>
      <c r="AK49" s="430">
        <v>0</v>
      </c>
      <c r="AL49" s="430">
        <v>0</v>
      </c>
    </row>
    <row r="50" spans="1:38">
      <c r="A50" s="427" t="s">
        <v>17</v>
      </c>
      <c r="B50" s="407" t="s">
        <v>43</v>
      </c>
      <c r="C50" s="408">
        <v>6210914</v>
      </c>
      <c r="D50" s="428">
        <v>5010770</v>
      </c>
      <c r="E50" s="428">
        <v>6527997</v>
      </c>
      <c r="F50" s="428">
        <v>6300411</v>
      </c>
      <c r="G50" s="428">
        <v>5944898</v>
      </c>
      <c r="H50" s="428">
        <v>3801815</v>
      </c>
      <c r="I50" s="428">
        <v>5336449</v>
      </c>
      <c r="J50" s="428">
        <v>4046188</v>
      </c>
      <c r="K50" s="428">
        <v>3812819</v>
      </c>
      <c r="L50" s="428">
        <v>3993288</v>
      </c>
      <c r="M50" s="428">
        <v>3314147</v>
      </c>
      <c r="N50" s="428">
        <v>6243753</v>
      </c>
      <c r="O50" s="428">
        <v>4806400</v>
      </c>
      <c r="P50" s="428">
        <v>3679162</v>
      </c>
      <c r="Q50" s="428">
        <v>5469437</v>
      </c>
      <c r="R50" s="428">
        <v>6901776</v>
      </c>
      <c r="S50" s="428">
        <v>4349734</v>
      </c>
      <c r="T50" s="428">
        <v>2961320</v>
      </c>
      <c r="U50" s="428">
        <v>4580934</v>
      </c>
      <c r="V50" s="428">
        <v>5218004</v>
      </c>
      <c r="W50" s="428">
        <v>3933593</v>
      </c>
      <c r="X50" s="429">
        <v>1945822</v>
      </c>
      <c r="Y50" s="428">
        <v>1945822</v>
      </c>
      <c r="Z50" s="428">
        <v>2733573</v>
      </c>
      <c r="AA50" s="428">
        <v>2695270</v>
      </c>
      <c r="AB50" s="428">
        <v>2217257</v>
      </c>
      <c r="AC50" s="430">
        <v>2069511</v>
      </c>
      <c r="AD50" s="430">
        <v>3234769</v>
      </c>
      <c r="AE50" s="430">
        <v>1840166</v>
      </c>
      <c r="AF50" s="430">
        <v>1365264</v>
      </c>
      <c r="AG50" s="431">
        <v>1663946</v>
      </c>
      <c r="AH50" s="431">
        <v>1470229</v>
      </c>
      <c r="AI50" s="431">
        <v>1963775</v>
      </c>
      <c r="AJ50" s="432">
        <v>1394494</v>
      </c>
      <c r="AK50" s="430">
        <v>1416660</v>
      </c>
      <c r="AL50" s="430">
        <v>1416660</v>
      </c>
    </row>
    <row r="51" spans="1:38">
      <c r="A51" s="427" t="s">
        <v>41</v>
      </c>
      <c r="B51" s="407" t="s">
        <v>45</v>
      </c>
      <c r="C51" s="408">
        <v>121910</v>
      </c>
      <c r="D51" s="428">
        <v>127638</v>
      </c>
      <c r="E51" s="428">
        <v>135781</v>
      </c>
      <c r="F51" s="428">
        <v>109427</v>
      </c>
      <c r="G51" s="428">
        <v>114369</v>
      </c>
      <c r="H51" s="428">
        <v>124929</v>
      </c>
      <c r="I51" s="428">
        <v>133833</v>
      </c>
      <c r="J51" s="428">
        <v>133230</v>
      </c>
      <c r="K51" s="428">
        <v>138495</v>
      </c>
      <c r="L51" s="428">
        <v>149492</v>
      </c>
      <c r="M51" s="428">
        <v>151614</v>
      </c>
      <c r="N51" s="428">
        <v>166694</v>
      </c>
      <c r="O51" s="428">
        <v>168318</v>
      </c>
      <c r="P51" s="428">
        <v>177224</v>
      </c>
      <c r="Q51" s="428">
        <v>174474</v>
      </c>
      <c r="R51" s="428">
        <v>198865</v>
      </c>
      <c r="S51" s="428">
        <v>191262</v>
      </c>
      <c r="T51" s="428">
        <v>209973</v>
      </c>
      <c r="U51" s="428">
        <v>208281</v>
      </c>
      <c r="V51" s="428">
        <v>204951</v>
      </c>
      <c r="W51" s="428">
        <v>207285</v>
      </c>
      <c r="X51" s="429">
        <v>148199</v>
      </c>
      <c r="Y51" s="428">
        <v>148199</v>
      </c>
      <c r="Z51" s="428">
        <v>160321</v>
      </c>
      <c r="AA51" s="428">
        <v>168658</v>
      </c>
      <c r="AB51" s="428">
        <v>181299</v>
      </c>
      <c r="AC51" s="430">
        <v>191120</v>
      </c>
      <c r="AD51" s="430">
        <v>200512</v>
      </c>
      <c r="AE51" s="430">
        <v>188527</v>
      </c>
      <c r="AF51" s="430">
        <v>186978</v>
      </c>
      <c r="AG51" s="431">
        <v>182793</v>
      </c>
      <c r="AH51" s="431">
        <v>185527</v>
      </c>
      <c r="AI51" s="431">
        <v>186444</v>
      </c>
      <c r="AJ51" s="432">
        <v>186370</v>
      </c>
      <c r="AK51" s="430">
        <v>187536</v>
      </c>
      <c r="AL51" s="430">
        <v>187536</v>
      </c>
    </row>
    <row r="52" spans="1:38">
      <c r="A52" s="427" t="s">
        <v>19</v>
      </c>
      <c r="B52" s="407" t="s">
        <v>377</v>
      </c>
      <c r="C52" s="408">
        <v>1639922</v>
      </c>
      <c r="D52" s="428">
        <v>1727574</v>
      </c>
      <c r="E52" s="428">
        <v>1608679</v>
      </c>
      <c r="F52" s="428">
        <v>1266325</v>
      </c>
      <c r="G52" s="428">
        <v>1410532</v>
      </c>
      <c r="H52" s="428">
        <v>1489047</v>
      </c>
      <c r="I52" s="428">
        <v>1467196</v>
      </c>
      <c r="J52" s="428">
        <v>1467414</v>
      </c>
      <c r="K52" s="428">
        <v>1364582</v>
      </c>
      <c r="L52" s="428">
        <v>1419249</v>
      </c>
      <c r="M52" s="428">
        <v>1189144</v>
      </c>
      <c r="N52" s="428">
        <v>1212332</v>
      </c>
      <c r="O52" s="428">
        <v>1266580</v>
      </c>
      <c r="P52" s="428">
        <v>1289312</v>
      </c>
      <c r="Q52" s="428">
        <v>1041189</v>
      </c>
      <c r="R52" s="428">
        <v>1063800</v>
      </c>
      <c r="S52" s="428">
        <v>826438</v>
      </c>
      <c r="T52" s="428">
        <v>847961</v>
      </c>
      <c r="U52" s="428">
        <v>618554</v>
      </c>
      <c r="V52" s="428">
        <v>625636</v>
      </c>
      <c r="W52" s="428">
        <v>653906</v>
      </c>
      <c r="X52" s="429">
        <v>589981</v>
      </c>
      <c r="Y52" s="428">
        <v>589981</v>
      </c>
      <c r="Z52" s="428">
        <v>608780</v>
      </c>
      <c r="AA52" s="428">
        <v>620952</v>
      </c>
      <c r="AB52" s="428">
        <v>652981</v>
      </c>
      <c r="AC52" s="430">
        <v>676160</v>
      </c>
      <c r="AD52" s="430">
        <v>551033</v>
      </c>
      <c r="AE52" s="430">
        <v>478039</v>
      </c>
      <c r="AF52" s="430">
        <v>489430</v>
      </c>
      <c r="AG52" s="431">
        <v>469951</v>
      </c>
      <c r="AH52" s="431">
        <v>531535</v>
      </c>
      <c r="AI52" s="431">
        <v>531616</v>
      </c>
      <c r="AJ52" s="432">
        <v>533904</v>
      </c>
      <c r="AK52" s="430">
        <v>501518</v>
      </c>
      <c r="AL52" s="430">
        <v>487178</v>
      </c>
    </row>
    <row r="53" spans="1:38">
      <c r="A53" s="427"/>
      <c r="B53" s="407" t="s">
        <v>378</v>
      </c>
      <c r="C53" s="408">
        <v>163891</v>
      </c>
      <c r="D53" s="428">
        <v>186208</v>
      </c>
      <c r="E53" s="428">
        <v>197466</v>
      </c>
      <c r="F53" s="428">
        <v>99592</v>
      </c>
      <c r="G53" s="428">
        <v>108985</v>
      </c>
      <c r="H53" s="428">
        <v>104906</v>
      </c>
      <c r="I53" s="428">
        <v>107018</v>
      </c>
      <c r="J53" s="428">
        <v>107374</v>
      </c>
      <c r="K53" s="428">
        <v>104297</v>
      </c>
      <c r="L53" s="428">
        <v>123323</v>
      </c>
      <c r="M53" s="428">
        <v>141685</v>
      </c>
      <c r="N53" s="428">
        <v>142997</v>
      </c>
      <c r="O53" s="428">
        <v>156513</v>
      </c>
      <c r="P53" s="428">
        <v>154497</v>
      </c>
      <c r="Q53" s="428">
        <v>136536</v>
      </c>
      <c r="R53" s="428">
        <v>135337</v>
      </c>
      <c r="S53" s="428">
        <v>99795</v>
      </c>
      <c r="T53" s="428">
        <v>97219</v>
      </c>
      <c r="U53" s="428">
        <v>80400</v>
      </c>
      <c r="V53" s="428">
        <v>82233</v>
      </c>
      <c r="W53" s="428">
        <v>80571</v>
      </c>
      <c r="X53" s="429">
        <v>62334</v>
      </c>
      <c r="Y53" s="428">
        <v>62334</v>
      </c>
      <c r="Z53" s="428">
        <v>55290</v>
      </c>
      <c r="AA53" s="428">
        <v>57466</v>
      </c>
      <c r="AB53" s="428">
        <v>54768</v>
      </c>
      <c r="AC53" s="430">
        <v>55995</v>
      </c>
      <c r="AD53" s="430">
        <v>58206</v>
      </c>
      <c r="AE53" s="430">
        <v>62126</v>
      </c>
      <c r="AF53" s="430">
        <v>61942</v>
      </c>
      <c r="AG53" s="431">
        <v>63059</v>
      </c>
      <c r="AH53" s="431">
        <v>64013</v>
      </c>
      <c r="AI53" s="431">
        <v>67420</v>
      </c>
      <c r="AJ53" s="432">
        <v>82769</v>
      </c>
      <c r="AK53" s="430">
        <v>61133</v>
      </c>
      <c r="AL53" s="430">
        <v>46793</v>
      </c>
    </row>
    <row r="54" spans="1:38">
      <c r="A54" s="427"/>
      <c r="B54" s="407" t="s">
        <v>379</v>
      </c>
      <c r="C54" s="408">
        <v>247235</v>
      </c>
      <c r="D54" s="428">
        <v>262326</v>
      </c>
      <c r="E54" s="428">
        <v>279488</v>
      </c>
      <c r="F54" s="428">
        <v>112407</v>
      </c>
      <c r="G54" s="428">
        <v>111588</v>
      </c>
      <c r="H54" s="428">
        <v>115916</v>
      </c>
      <c r="I54" s="428">
        <v>115936</v>
      </c>
      <c r="J54" s="428">
        <v>112042</v>
      </c>
      <c r="K54" s="428">
        <v>118385</v>
      </c>
      <c r="L54" s="428">
        <v>120401</v>
      </c>
      <c r="M54" s="428">
        <v>109666</v>
      </c>
      <c r="N54" s="428">
        <v>115930</v>
      </c>
      <c r="O54" s="428">
        <v>116663</v>
      </c>
      <c r="P54" s="428">
        <v>115987</v>
      </c>
      <c r="Q54" s="428">
        <v>118702</v>
      </c>
      <c r="R54" s="428">
        <v>128355</v>
      </c>
      <c r="S54" s="428">
        <v>127226</v>
      </c>
      <c r="T54" s="428">
        <v>140255</v>
      </c>
      <c r="U54" s="428">
        <v>138811</v>
      </c>
      <c r="V54" s="428">
        <v>141528</v>
      </c>
      <c r="W54" s="428">
        <v>139502</v>
      </c>
      <c r="X54" s="429">
        <v>148357</v>
      </c>
      <c r="Y54" s="428">
        <v>148357</v>
      </c>
      <c r="Z54" s="428">
        <v>154740</v>
      </c>
      <c r="AA54" s="428">
        <v>153181</v>
      </c>
      <c r="AB54" s="428">
        <v>150493</v>
      </c>
      <c r="AC54" s="430">
        <v>161619</v>
      </c>
      <c r="AD54" s="430">
        <v>169465</v>
      </c>
      <c r="AE54" s="430">
        <v>163255</v>
      </c>
      <c r="AF54" s="430">
        <v>156633</v>
      </c>
      <c r="AG54" s="431">
        <v>131126</v>
      </c>
      <c r="AH54" s="431">
        <v>128720</v>
      </c>
      <c r="AI54" s="431">
        <v>132104</v>
      </c>
      <c r="AJ54" s="432">
        <v>135920</v>
      </c>
      <c r="AK54" s="430">
        <v>137148</v>
      </c>
      <c r="AL54" s="430">
        <v>137148</v>
      </c>
    </row>
    <row r="55" spans="1:38">
      <c r="A55" s="427"/>
      <c r="B55" s="407" t="s">
        <v>380</v>
      </c>
      <c r="C55" s="408">
        <v>1228796</v>
      </c>
      <c r="D55" s="428">
        <v>1279040</v>
      </c>
      <c r="E55" s="428">
        <v>1131725</v>
      </c>
      <c r="F55" s="428">
        <v>1054326</v>
      </c>
      <c r="G55" s="428">
        <v>1189959</v>
      </c>
      <c r="H55" s="428">
        <v>1268225</v>
      </c>
      <c r="I55" s="428">
        <v>1244242</v>
      </c>
      <c r="J55" s="428">
        <v>1247998</v>
      </c>
      <c r="K55" s="428">
        <v>1141900</v>
      </c>
      <c r="L55" s="428">
        <v>1175525</v>
      </c>
      <c r="M55" s="428">
        <v>937793</v>
      </c>
      <c r="N55" s="428">
        <v>953405</v>
      </c>
      <c r="O55" s="428">
        <v>993404</v>
      </c>
      <c r="P55" s="428">
        <v>1018828</v>
      </c>
      <c r="Q55" s="428">
        <v>785951</v>
      </c>
      <c r="R55" s="428">
        <v>800108</v>
      </c>
      <c r="S55" s="428">
        <v>599417</v>
      </c>
      <c r="T55" s="428">
        <v>610487</v>
      </c>
      <c r="U55" s="428">
        <v>399343</v>
      </c>
      <c r="V55" s="428">
        <v>401875</v>
      </c>
      <c r="W55" s="428">
        <v>433833</v>
      </c>
      <c r="X55" s="429">
        <v>379290</v>
      </c>
      <c r="Y55" s="428">
        <v>379290</v>
      </c>
      <c r="Z55" s="428">
        <v>398750</v>
      </c>
      <c r="AA55" s="428">
        <v>410305</v>
      </c>
      <c r="AB55" s="428">
        <v>447720</v>
      </c>
      <c r="AC55" s="430">
        <v>458546</v>
      </c>
      <c r="AD55" s="430">
        <v>323362</v>
      </c>
      <c r="AE55" s="430">
        <v>252658</v>
      </c>
      <c r="AF55" s="430">
        <v>270855</v>
      </c>
      <c r="AG55" s="431">
        <v>275766</v>
      </c>
      <c r="AH55" s="431">
        <v>338802</v>
      </c>
      <c r="AI55" s="431">
        <v>332092</v>
      </c>
      <c r="AJ55" s="432">
        <v>315215</v>
      </c>
      <c r="AK55" s="430">
        <v>303237</v>
      </c>
      <c r="AL55" s="430">
        <v>303237</v>
      </c>
    </row>
    <row r="56" spans="1:38" hidden="1">
      <c r="A56" s="427" t="s">
        <v>44</v>
      </c>
      <c r="B56" s="407" t="s">
        <v>381</v>
      </c>
      <c r="C56" s="408"/>
      <c r="D56" s="428">
        <v>0</v>
      </c>
      <c r="E56" s="428"/>
      <c r="F56" s="428">
        <v>0</v>
      </c>
      <c r="G56" s="428">
        <v>0</v>
      </c>
      <c r="H56" s="428">
        <v>0</v>
      </c>
      <c r="I56" s="428">
        <v>0</v>
      </c>
      <c r="J56" s="428">
        <v>0</v>
      </c>
      <c r="K56" s="428">
        <v>0</v>
      </c>
      <c r="L56" s="428">
        <v>0</v>
      </c>
      <c r="M56" s="428">
        <v>0</v>
      </c>
      <c r="N56" s="428">
        <v>0</v>
      </c>
      <c r="O56" s="428">
        <v>0</v>
      </c>
      <c r="P56" s="428">
        <v>0</v>
      </c>
      <c r="Q56" s="428">
        <v>0</v>
      </c>
      <c r="R56" s="428">
        <v>0</v>
      </c>
      <c r="S56" s="428">
        <v>0</v>
      </c>
      <c r="T56" s="428">
        <v>0</v>
      </c>
      <c r="U56" s="428">
        <v>0</v>
      </c>
      <c r="V56" s="428">
        <v>0</v>
      </c>
      <c r="W56" s="428">
        <v>0</v>
      </c>
      <c r="X56" s="429">
        <v>0</v>
      </c>
      <c r="Y56" s="428">
        <v>0</v>
      </c>
      <c r="Z56" s="428">
        <v>0</v>
      </c>
      <c r="AA56" s="428">
        <v>0</v>
      </c>
      <c r="AB56" s="428">
        <v>0</v>
      </c>
      <c r="AC56" s="430">
        <v>0</v>
      </c>
      <c r="AD56" s="430">
        <v>0</v>
      </c>
      <c r="AE56" s="430">
        <v>0</v>
      </c>
      <c r="AF56" s="430">
        <v>0</v>
      </c>
      <c r="AG56" s="431">
        <v>0</v>
      </c>
      <c r="AH56" s="431">
        <v>0</v>
      </c>
      <c r="AI56" s="431">
        <v>0</v>
      </c>
      <c r="AJ56" s="432">
        <v>0</v>
      </c>
      <c r="AK56" s="430">
        <v>0</v>
      </c>
      <c r="AL56" s="430">
        <v>0</v>
      </c>
    </row>
    <row r="57" spans="1:38">
      <c r="A57" s="427" t="s">
        <v>21</v>
      </c>
      <c r="B57" s="407" t="s">
        <v>49</v>
      </c>
      <c r="C57" s="408">
        <v>252528</v>
      </c>
      <c r="D57" s="428">
        <v>289707</v>
      </c>
      <c r="E57" s="428">
        <v>264954</v>
      </c>
      <c r="F57" s="428">
        <v>279717</v>
      </c>
      <c r="G57" s="428">
        <v>230944</v>
      </c>
      <c r="H57" s="428">
        <v>216411</v>
      </c>
      <c r="I57" s="428">
        <v>207559</v>
      </c>
      <c r="J57" s="428">
        <v>170588</v>
      </c>
      <c r="K57" s="428">
        <v>155293</v>
      </c>
      <c r="L57" s="428">
        <v>151396</v>
      </c>
      <c r="M57" s="428">
        <v>86319</v>
      </c>
      <c r="N57" s="428">
        <v>79151</v>
      </c>
      <c r="O57" s="428">
        <v>86088</v>
      </c>
      <c r="P57" s="428">
        <v>60681</v>
      </c>
      <c r="Q57" s="428">
        <v>-37346</v>
      </c>
      <c r="R57" s="428">
        <v>33148</v>
      </c>
      <c r="S57" s="428">
        <v>126509</v>
      </c>
      <c r="T57" s="428">
        <v>196370</v>
      </c>
      <c r="U57" s="428">
        <v>233306</v>
      </c>
      <c r="V57" s="428">
        <v>234009</v>
      </c>
      <c r="W57" s="428">
        <v>240535</v>
      </c>
      <c r="X57" s="429">
        <v>118105</v>
      </c>
      <c r="Y57" s="428">
        <v>118105</v>
      </c>
      <c r="Z57" s="428">
        <v>53367</v>
      </c>
      <c r="AA57" s="428">
        <v>-2322</v>
      </c>
      <c r="AB57" s="428">
        <v>-71110</v>
      </c>
      <c r="AC57" s="430">
        <v>37750</v>
      </c>
      <c r="AD57" s="430">
        <v>-39838</v>
      </c>
      <c r="AE57" s="430">
        <v>15130</v>
      </c>
      <c r="AF57" s="430">
        <v>14199</v>
      </c>
      <c r="AG57" s="431">
        <v>949</v>
      </c>
      <c r="AH57" s="431">
        <v>34557</v>
      </c>
      <c r="AI57" s="431">
        <v>60974</v>
      </c>
      <c r="AJ57" s="432">
        <v>140229</v>
      </c>
      <c r="AK57" s="430">
        <v>204423</v>
      </c>
      <c r="AL57" s="430">
        <v>75089</v>
      </c>
    </row>
    <row r="58" spans="1:38" hidden="1">
      <c r="A58" s="427">
        <v>121</v>
      </c>
      <c r="B58" s="407" t="s">
        <v>382</v>
      </c>
      <c r="C58" s="408">
        <v>0</v>
      </c>
      <c r="D58" s="428">
        <v>0</v>
      </c>
      <c r="E58" s="428">
        <v>0</v>
      </c>
      <c r="F58" s="428">
        <v>0</v>
      </c>
      <c r="G58" s="428">
        <v>0</v>
      </c>
      <c r="H58" s="428">
        <v>0</v>
      </c>
      <c r="I58" s="428">
        <v>0</v>
      </c>
      <c r="J58" s="428">
        <v>0</v>
      </c>
      <c r="K58" s="428">
        <v>0</v>
      </c>
      <c r="L58" s="428">
        <v>0</v>
      </c>
      <c r="M58" s="428">
        <v>0</v>
      </c>
      <c r="N58" s="428">
        <v>0</v>
      </c>
      <c r="O58" s="428">
        <v>0</v>
      </c>
      <c r="P58" s="428">
        <v>0</v>
      </c>
      <c r="Q58" s="428">
        <v>0</v>
      </c>
      <c r="R58" s="428">
        <v>0</v>
      </c>
      <c r="S58" s="428">
        <v>0</v>
      </c>
      <c r="T58" s="428">
        <v>0</v>
      </c>
      <c r="U58" s="428">
        <v>0</v>
      </c>
      <c r="V58" s="428">
        <v>0</v>
      </c>
      <c r="W58" s="428">
        <v>0</v>
      </c>
      <c r="X58" s="429">
        <v>0</v>
      </c>
      <c r="Y58" s="428">
        <v>0</v>
      </c>
      <c r="Z58" s="428">
        <v>0</v>
      </c>
      <c r="AA58" s="428">
        <v>0</v>
      </c>
      <c r="AB58" s="428">
        <v>0</v>
      </c>
      <c r="AC58" s="430">
        <v>0</v>
      </c>
      <c r="AD58" s="430">
        <v>0</v>
      </c>
      <c r="AE58" s="430">
        <v>0</v>
      </c>
      <c r="AF58" s="430">
        <v>0</v>
      </c>
      <c r="AG58" s="431">
        <v>0</v>
      </c>
      <c r="AH58" s="431">
        <v>0</v>
      </c>
      <c r="AI58" s="431">
        <v>0</v>
      </c>
      <c r="AJ58" s="432">
        <v>0</v>
      </c>
      <c r="AK58" s="430">
        <v>0</v>
      </c>
      <c r="AL58" s="430">
        <v>0</v>
      </c>
    </row>
    <row r="59" spans="1:38" hidden="1">
      <c r="A59" s="427" t="s">
        <v>23</v>
      </c>
      <c r="B59" s="407" t="s">
        <v>383</v>
      </c>
      <c r="C59" s="408">
        <v>0</v>
      </c>
      <c r="D59" s="428">
        <v>0</v>
      </c>
      <c r="E59" s="428">
        <v>0</v>
      </c>
      <c r="F59" s="428">
        <v>0</v>
      </c>
      <c r="G59" s="428">
        <v>0</v>
      </c>
      <c r="H59" s="428">
        <v>0</v>
      </c>
      <c r="I59" s="428">
        <v>0</v>
      </c>
      <c r="J59" s="428">
        <v>0</v>
      </c>
      <c r="K59" s="428">
        <v>0</v>
      </c>
      <c r="L59" s="428">
        <v>0</v>
      </c>
      <c r="M59" s="428">
        <v>0</v>
      </c>
      <c r="N59" s="428">
        <v>0</v>
      </c>
      <c r="O59" s="428">
        <v>0</v>
      </c>
      <c r="P59" s="428">
        <v>0</v>
      </c>
      <c r="Q59" s="428">
        <v>0</v>
      </c>
      <c r="R59" s="428">
        <v>0</v>
      </c>
      <c r="S59" s="428">
        <v>0</v>
      </c>
      <c r="T59" s="428">
        <v>0</v>
      </c>
      <c r="U59" s="428">
        <v>0</v>
      </c>
      <c r="V59" s="428">
        <v>0</v>
      </c>
      <c r="W59" s="428">
        <v>0</v>
      </c>
      <c r="X59" s="429"/>
      <c r="Y59" s="428">
        <v>0</v>
      </c>
      <c r="Z59" s="428">
        <v>0</v>
      </c>
      <c r="AA59" s="428">
        <v>0</v>
      </c>
      <c r="AB59" s="428">
        <v>0</v>
      </c>
      <c r="AC59" s="430">
        <v>0</v>
      </c>
      <c r="AD59" s="430">
        <v>0</v>
      </c>
      <c r="AE59" s="430">
        <v>0</v>
      </c>
      <c r="AF59" s="430">
        <v>0</v>
      </c>
      <c r="AG59" s="431">
        <v>0</v>
      </c>
      <c r="AH59" s="431">
        <v>0</v>
      </c>
      <c r="AI59" s="431">
        <v>0</v>
      </c>
      <c r="AJ59" s="432">
        <v>0</v>
      </c>
      <c r="AK59" s="430">
        <v>0</v>
      </c>
      <c r="AL59" s="430"/>
    </row>
    <row r="60" spans="1:38">
      <c r="A60" s="427" t="s">
        <v>25</v>
      </c>
      <c r="B60" s="407" t="s">
        <v>288</v>
      </c>
      <c r="C60" s="408">
        <v>1793573</v>
      </c>
      <c r="D60" s="428">
        <v>1793575</v>
      </c>
      <c r="E60" s="428">
        <v>1057846</v>
      </c>
      <c r="F60" s="428">
        <v>1115596</v>
      </c>
      <c r="G60" s="428">
        <v>1115596</v>
      </c>
      <c r="H60" s="428">
        <v>1115596</v>
      </c>
      <c r="I60" s="428">
        <v>620999</v>
      </c>
      <c r="J60" s="428">
        <v>645249</v>
      </c>
      <c r="K60" s="428">
        <v>645249</v>
      </c>
      <c r="L60" s="428">
        <v>150000</v>
      </c>
      <c r="M60" s="428">
        <v>150000</v>
      </c>
      <c r="N60" s="428">
        <v>150000</v>
      </c>
      <c r="O60" s="428">
        <v>150000</v>
      </c>
      <c r="P60" s="428">
        <v>150000</v>
      </c>
      <c r="Q60" s="428">
        <v>150000</v>
      </c>
      <c r="R60" s="428">
        <v>150000</v>
      </c>
      <c r="S60" s="428">
        <v>150000</v>
      </c>
      <c r="T60" s="428">
        <v>150000</v>
      </c>
      <c r="U60" s="428">
        <v>150000</v>
      </c>
      <c r="V60" s="428">
        <v>150000</v>
      </c>
      <c r="W60" s="428">
        <v>150000</v>
      </c>
      <c r="X60" s="429">
        <v>150000</v>
      </c>
      <c r="Y60" s="428">
        <v>150000</v>
      </c>
      <c r="Z60" s="428">
        <v>150000</v>
      </c>
      <c r="AA60" s="428">
        <v>150000</v>
      </c>
      <c r="AB60" s="428">
        <v>150000</v>
      </c>
      <c r="AC60" s="430">
        <v>150000</v>
      </c>
      <c r="AD60" s="430">
        <v>150000</v>
      </c>
      <c r="AE60" s="430">
        <v>0</v>
      </c>
      <c r="AF60" s="430">
        <v>0</v>
      </c>
      <c r="AG60" s="431">
        <v>0</v>
      </c>
      <c r="AH60" s="431">
        <v>0</v>
      </c>
      <c r="AI60" s="431">
        <v>0</v>
      </c>
      <c r="AJ60" s="432">
        <v>0</v>
      </c>
      <c r="AK60" s="430">
        <v>0</v>
      </c>
      <c r="AL60" s="430"/>
    </row>
    <row r="61" spans="1:38">
      <c r="A61" s="427" t="s">
        <v>29</v>
      </c>
      <c r="B61" s="407" t="s">
        <v>51</v>
      </c>
      <c r="C61" s="408">
        <v>7158316</v>
      </c>
      <c r="D61" s="428">
        <v>5358543</v>
      </c>
      <c r="E61" s="428">
        <v>5651151</v>
      </c>
      <c r="F61" s="428">
        <v>5766556</v>
      </c>
      <c r="G61" s="428">
        <v>6651614</v>
      </c>
      <c r="H61" s="428">
        <v>5285033</v>
      </c>
      <c r="I61" s="428">
        <v>5273811</v>
      </c>
      <c r="J61" s="428">
        <v>5302571</v>
      </c>
      <c r="K61" s="428">
        <v>5726620</v>
      </c>
      <c r="L61" s="428">
        <v>4206666</v>
      </c>
      <c r="M61" s="428">
        <v>4201976</v>
      </c>
      <c r="N61" s="428">
        <v>4217670</v>
      </c>
      <c r="O61" s="428">
        <v>4396187</v>
      </c>
      <c r="P61" s="428">
        <v>2944603</v>
      </c>
      <c r="Q61" s="428">
        <v>2959997</v>
      </c>
      <c r="R61" s="428">
        <v>2971945</v>
      </c>
      <c r="S61" s="428">
        <v>3018131</v>
      </c>
      <c r="T61" s="428">
        <v>2493508</v>
      </c>
      <c r="U61" s="428">
        <v>2492344</v>
      </c>
      <c r="V61" s="428">
        <v>2508116</v>
      </c>
      <c r="W61" s="428">
        <v>2563320</v>
      </c>
      <c r="X61" s="429">
        <v>2360743</v>
      </c>
      <c r="Y61" s="428">
        <v>2348691</v>
      </c>
      <c r="Z61" s="428">
        <v>2351088</v>
      </c>
      <c r="AA61" s="428">
        <v>2405839</v>
      </c>
      <c r="AB61" s="428">
        <v>2405697</v>
      </c>
      <c r="AC61" s="430">
        <v>2035205</v>
      </c>
      <c r="AD61" s="430">
        <v>2088106</v>
      </c>
      <c r="AE61" s="430">
        <v>1961433</v>
      </c>
      <c r="AF61" s="430">
        <v>2022397</v>
      </c>
      <c r="AG61" s="431">
        <v>1619469</v>
      </c>
      <c r="AH61" s="431">
        <v>1622226</v>
      </c>
      <c r="AI61" s="431">
        <v>1527996</v>
      </c>
      <c r="AJ61" s="432">
        <v>1582852</v>
      </c>
      <c r="AK61" s="430">
        <v>1433444</v>
      </c>
      <c r="AL61" s="430">
        <v>2445454</v>
      </c>
    </row>
    <row r="62" spans="1:38">
      <c r="A62" s="427">
        <v>155</v>
      </c>
      <c r="B62" s="407" t="s">
        <v>596</v>
      </c>
      <c r="C62" s="408">
        <v>-196162</v>
      </c>
      <c r="D62" s="428">
        <v>-196357</v>
      </c>
      <c r="E62" s="428">
        <v>0</v>
      </c>
      <c r="F62" s="428">
        <v>0</v>
      </c>
      <c r="G62" s="428">
        <v>0</v>
      </c>
      <c r="H62" s="428">
        <v>0</v>
      </c>
      <c r="I62" s="428">
        <v>0</v>
      </c>
      <c r="J62" s="428">
        <v>0</v>
      </c>
      <c r="K62" s="428">
        <v>0</v>
      </c>
      <c r="L62" s="428">
        <v>0</v>
      </c>
      <c r="M62" s="428">
        <v>0</v>
      </c>
      <c r="N62" s="428">
        <v>0</v>
      </c>
      <c r="O62" s="428">
        <v>0</v>
      </c>
      <c r="P62" s="428">
        <v>0</v>
      </c>
      <c r="Q62" s="428">
        <v>0</v>
      </c>
      <c r="R62" s="428">
        <v>0</v>
      </c>
      <c r="S62" s="428">
        <v>0</v>
      </c>
      <c r="T62" s="428">
        <v>0</v>
      </c>
      <c r="U62" s="428">
        <v>0</v>
      </c>
      <c r="V62" s="428">
        <v>0</v>
      </c>
      <c r="W62" s="428">
        <v>0</v>
      </c>
      <c r="X62" s="429"/>
      <c r="Y62" s="428">
        <v>0</v>
      </c>
      <c r="Z62" s="428">
        <v>0</v>
      </c>
      <c r="AA62" s="428">
        <v>0</v>
      </c>
      <c r="AB62" s="428">
        <v>0</v>
      </c>
      <c r="AC62" s="430">
        <v>0</v>
      </c>
      <c r="AD62" s="430">
        <v>0</v>
      </c>
      <c r="AE62" s="430">
        <v>0</v>
      </c>
      <c r="AF62" s="430">
        <v>0</v>
      </c>
      <c r="AG62" s="431">
        <v>0</v>
      </c>
      <c r="AH62" s="431">
        <v>0</v>
      </c>
      <c r="AI62" s="431">
        <v>0</v>
      </c>
      <c r="AJ62" s="432">
        <v>0</v>
      </c>
      <c r="AK62" s="430">
        <v>0</v>
      </c>
      <c r="AL62" s="430">
        <v>0</v>
      </c>
    </row>
    <row r="63" spans="1:38">
      <c r="A63" s="427" t="s">
        <v>31</v>
      </c>
      <c r="B63" s="407" t="s">
        <v>53</v>
      </c>
      <c r="C63" s="408">
        <v>4589043</v>
      </c>
      <c r="D63" s="428">
        <v>4589105</v>
      </c>
      <c r="E63" s="428">
        <v>4596434</v>
      </c>
      <c r="F63" s="428">
        <v>1251478</v>
      </c>
      <c r="G63" s="428">
        <v>1244633</v>
      </c>
      <c r="H63" s="428">
        <v>1244576</v>
      </c>
      <c r="I63" s="428">
        <v>1244557</v>
      </c>
      <c r="J63" s="428">
        <v>1237512</v>
      </c>
      <c r="K63" s="428">
        <v>1236519</v>
      </c>
      <c r="L63" s="428">
        <v>1236525</v>
      </c>
      <c r="M63" s="428">
        <v>1236528</v>
      </c>
      <c r="N63" s="428">
        <v>1236602</v>
      </c>
      <c r="O63" s="428">
        <v>1237200</v>
      </c>
      <c r="P63" s="428">
        <v>1237276</v>
      </c>
      <c r="Q63" s="428">
        <v>1237324</v>
      </c>
      <c r="R63" s="428">
        <v>1237460</v>
      </c>
      <c r="S63" s="428">
        <v>1240356</v>
      </c>
      <c r="T63" s="428">
        <v>1240428</v>
      </c>
      <c r="U63" s="428">
        <v>1240515</v>
      </c>
      <c r="V63" s="428">
        <v>1240871</v>
      </c>
      <c r="W63" s="428">
        <v>1241197</v>
      </c>
      <c r="X63" s="429">
        <v>1241197</v>
      </c>
      <c r="Y63" s="428">
        <v>1241197</v>
      </c>
      <c r="Z63" s="428">
        <v>1002722</v>
      </c>
      <c r="AA63" s="428">
        <v>1002722</v>
      </c>
      <c r="AB63" s="428">
        <v>1002722</v>
      </c>
      <c r="AC63" s="430">
        <v>1002722</v>
      </c>
      <c r="AD63" s="430">
        <v>999373</v>
      </c>
      <c r="AE63" s="430">
        <v>930073</v>
      </c>
      <c r="AF63" s="430">
        <v>930073</v>
      </c>
      <c r="AG63" s="431">
        <v>930073</v>
      </c>
      <c r="AH63" s="431">
        <v>930073</v>
      </c>
      <c r="AI63" s="431">
        <v>930073</v>
      </c>
      <c r="AJ63" s="432">
        <v>930073</v>
      </c>
      <c r="AK63" s="430">
        <v>930073</v>
      </c>
      <c r="AL63" s="430">
        <v>930073</v>
      </c>
    </row>
    <row r="64" spans="1:38">
      <c r="A64" s="427" t="s">
        <v>50</v>
      </c>
      <c r="B64" s="407" t="s">
        <v>55</v>
      </c>
      <c r="C64" s="408">
        <v>2953572</v>
      </c>
      <c r="D64" s="428">
        <v>2953572</v>
      </c>
      <c r="E64" s="428">
        <v>2953384</v>
      </c>
      <c r="F64" s="428">
        <v>2121637</v>
      </c>
      <c r="G64" s="428">
        <v>2121637</v>
      </c>
      <c r="H64" s="428">
        <v>2121637</v>
      </c>
      <c r="I64" s="428">
        <v>2121637</v>
      </c>
      <c r="J64" s="428">
        <v>2104316</v>
      </c>
      <c r="K64" s="428">
        <v>2104316</v>
      </c>
      <c r="L64" s="428">
        <v>2104316</v>
      </c>
      <c r="M64" s="428">
        <v>2104316</v>
      </c>
      <c r="N64" s="428">
        <v>2104316</v>
      </c>
      <c r="O64" s="428">
        <v>2104316</v>
      </c>
      <c r="P64" s="428">
        <v>2104316</v>
      </c>
      <c r="Q64" s="428">
        <v>2100435</v>
      </c>
      <c r="R64" s="428">
        <v>2100435</v>
      </c>
      <c r="S64" s="428">
        <v>2100435</v>
      </c>
      <c r="T64" s="428">
        <v>2100435</v>
      </c>
      <c r="U64" s="428">
        <v>2100435</v>
      </c>
      <c r="V64" s="428">
        <v>2100435</v>
      </c>
      <c r="W64" s="428">
        <v>2100435</v>
      </c>
      <c r="X64" s="429">
        <v>2100435</v>
      </c>
      <c r="Y64" s="428">
        <v>2100435</v>
      </c>
      <c r="Z64" s="428">
        <v>1565596</v>
      </c>
      <c r="AA64" s="428">
        <v>1561884</v>
      </c>
      <c r="AB64" s="428">
        <v>1561884</v>
      </c>
      <c r="AC64" s="430">
        <v>1561884</v>
      </c>
      <c r="AD64" s="430">
        <v>1542925</v>
      </c>
      <c r="AE64" s="430">
        <v>1443925</v>
      </c>
      <c r="AF64" s="430">
        <v>1443925</v>
      </c>
      <c r="AG64" s="431">
        <v>1443925</v>
      </c>
      <c r="AH64" s="431">
        <v>1443925</v>
      </c>
      <c r="AI64" s="431">
        <v>1443925</v>
      </c>
      <c r="AJ64" s="432">
        <v>1443925</v>
      </c>
      <c r="AK64" s="430">
        <v>1443925</v>
      </c>
      <c r="AL64" s="430">
        <v>1443925</v>
      </c>
    </row>
    <row r="65" spans="1:38">
      <c r="A65" s="427" t="s">
        <v>52</v>
      </c>
      <c r="B65" s="407" t="s">
        <v>384</v>
      </c>
      <c r="C65" s="408">
        <v>-40848</v>
      </c>
      <c r="D65" s="428">
        <v>-41547</v>
      </c>
      <c r="E65" s="428">
        <v>-24200</v>
      </c>
      <c r="F65" s="428">
        <v>-4404</v>
      </c>
      <c r="G65" s="428">
        <v>-31695</v>
      </c>
      <c r="H65" s="428">
        <v>-32035</v>
      </c>
      <c r="I65" s="428">
        <v>-7923</v>
      </c>
      <c r="J65" s="428">
        <v>-8323</v>
      </c>
      <c r="K65" s="428">
        <v>-11726</v>
      </c>
      <c r="L65" s="428">
        <v>-2250</v>
      </c>
      <c r="M65" s="428">
        <v>-2284</v>
      </c>
      <c r="N65" s="428">
        <v>-2689</v>
      </c>
      <c r="O65" s="428">
        <v>-5436</v>
      </c>
      <c r="P65" s="428">
        <v>-5678</v>
      </c>
      <c r="Q65" s="428">
        <v>-19857</v>
      </c>
      <c r="R65" s="428">
        <v>-20069</v>
      </c>
      <c r="S65" s="428">
        <v>-9426</v>
      </c>
      <c r="T65" s="428">
        <v>-9552</v>
      </c>
      <c r="U65" s="428">
        <v>-9706</v>
      </c>
      <c r="V65" s="428">
        <v>-6889</v>
      </c>
      <c r="W65" s="428">
        <v>-7259</v>
      </c>
      <c r="X65" s="429">
        <v>-7259</v>
      </c>
      <c r="Y65" s="428">
        <v>-7259</v>
      </c>
      <c r="Z65" s="428">
        <v>-7259</v>
      </c>
      <c r="AA65" s="428">
        <v>-7259</v>
      </c>
      <c r="AB65" s="428">
        <v>-7259</v>
      </c>
      <c r="AC65" s="430">
        <v>-7259</v>
      </c>
      <c r="AD65" s="430">
        <v>-7259</v>
      </c>
      <c r="AE65" s="430">
        <v>-7258</v>
      </c>
      <c r="AF65" s="430">
        <v>-7258</v>
      </c>
      <c r="AG65" s="431">
        <v>-7258</v>
      </c>
      <c r="AH65" s="431">
        <v>-7258</v>
      </c>
      <c r="AI65" s="431">
        <v>-7258</v>
      </c>
      <c r="AJ65" s="432">
        <v>-7258</v>
      </c>
      <c r="AK65" s="430">
        <v>-7258</v>
      </c>
      <c r="AL65" s="430">
        <v>-7258</v>
      </c>
    </row>
    <row r="66" spans="1:38">
      <c r="A66" s="427" t="s">
        <v>54</v>
      </c>
      <c r="B66" s="407" t="s">
        <v>385</v>
      </c>
      <c r="C66" s="408">
        <v>1069058</v>
      </c>
      <c r="D66" s="428">
        <v>1030454</v>
      </c>
      <c r="E66" s="428">
        <v>1161247</v>
      </c>
      <c r="F66" s="428">
        <v>199852</v>
      </c>
      <c r="G66" s="428">
        <v>219328</v>
      </c>
      <c r="H66" s="428">
        <v>210413</v>
      </c>
      <c r="I66" s="428">
        <v>203706</v>
      </c>
      <c r="J66" s="428">
        <v>191819</v>
      </c>
      <c r="K66" s="428">
        <v>208273</v>
      </c>
      <c r="L66" s="428">
        <v>199328</v>
      </c>
      <c r="M66" s="428">
        <v>189751</v>
      </c>
      <c r="N66" s="428">
        <v>182941</v>
      </c>
      <c r="O66" s="428">
        <v>188074</v>
      </c>
      <c r="P66" s="428">
        <v>180356</v>
      </c>
      <c r="Q66" s="428">
        <v>174567</v>
      </c>
      <c r="R66" s="428">
        <v>178919</v>
      </c>
      <c r="S66" s="428">
        <v>168816</v>
      </c>
      <c r="T66" s="428">
        <v>162497</v>
      </c>
      <c r="U66" s="428">
        <v>154084</v>
      </c>
      <c r="V66" s="428">
        <v>146354</v>
      </c>
      <c r="W66" s="428">
        <v>140657</v>
      </c>
      <c r="X66" s="429">
        <v>133983</v>
      </c>
      <c r="Y66" s="428">
        <v>133935</v>
      </c>
      <c r="Z66" s="428">
        <v>137257</v>
      </c>
      <c r="AA66" s="428">
        <v>139442</v>
      </c>
      <c r="AB66" s="428">
        <v>135791</v>
      </c>
      <c r="AC66" s="430">
        <v>131662</v>
      </c>
      <c r="AD66" s="430">
        <v>176160</v>
      </c>
      <c r="AE66" s="430">
        <v>505929</v>
      </c>
      <c r="AF66" s="430">
        <v>510166</v>
      </c>
      <c r="AG66" s="431">
        <v>507457</v>
      </c>
      <c r="AH66" s="431">
        <v>474455</v>
      </c>
      <c r="AI66" s="431">
        <v>474358</v>
      </c>
      <c r="AJ66" s="432">
        <v>493872</v>
      </c>
      <c r="AK66" s="430">
        <v>451825</v>
      </c>
      <c r="AL66" s="430">
        <v>653010</v>
      </c>
    </row>
    <row r="67" spans="1:38">
      <c r="A67" s="427" t="s">
        <v>56</v>
      </c>
      <c r="B67" s="407" t="s">
        <v>386</v>
      </c>
      <c r="C67" s="408">
        <v>518545</v>
      </c>
      <c r="D67" s="428">
        <v>1818447</v>
      </c>
      <c r="E67" s="428">
        <v>1478561</v>
      </c>
      <c r="F67" s="428">
        <v>903469</v>
      </c>
      <c r="G67" s="428">
        <v>442926</v>
      </c>
      <c r="H67" s="428">
        <v>1402649</v>
      </c>
      <c r="I67" s="428">
        <v>1137035</v>
      </c>
      <c r="J67" s="428">
        <v>724172</v>
      </c>
      <c r="K67" s="428">
        <v>457276</v>
      </c>
      <c r="L67" s="428">
        <v>1519496</v>
      </c>
      <c r="M67" s="428">
        <v>1087070</v>
      </c>
      <c r="N67" s="428">
        <v>704551</v>
      </c>
      <c r="O67" s="428">
        <v>290675</v>
      </c>
      <c r="P67" s="428">
        <v>1448975</v>
      </c>
      <c r="Q67" s="428">
        <v>1466376</v>
      </c>
      <c r="R67" s="428">
        <v>1384808</v>
      </c>
      <c r="S67" s="428">
        <v>112672</v>
      </c>
      <c r="T67" s="428">
        <v>525123</v>
      </c>
      <c r="U67" s="428">
        <v>586223</v>
      </c>
      <c r="V67" s="428">
        <v>501808</v>
      </c>
      <c r="W67" s="428">
        <v>400266</v>
      </c>
      <c r="X67" s="429">
        <v>236925</v>
      </c>
      <c r="Y67" s="428">
        <v>245650</v>
      </c>
      <c r="Z67" s="428">
        <v>200619</v>
      </c>
      <c r="AA67" s="428">
        <v>104679</v>
      </c>
      <c r="AB67" s="428">
        <v>6082</v>
      </c>
      <c r="AC67" s="430">
        <v>379583</v>
      </c>
      <c r="AD67" s="430">
        <v>522925</v>
      </c>
      <c r="AE67" s="430">
        <v>100492</v>
      </c>
      <c r="AF67" s="430">
        <v>47971</v>
      </c>
      <c r="AG67" s="431">
        <v>401953</v>
      </c>
      <c r="AH67" s="431">
        <v>358126</v>
      </c>
      <c r="AI67" s="431">
        <v>307885</v>
      </c>
      <c r="AJ67" s="432">
        <v>251023</v>
      </c>
      <c r="AK67" s="430">
        <v>176438</v>
      </c>
      <c r="AL67" s="430">
        <v>176438</v>
      </c>
    </row>
    <row r="68" spans="1:38">
      <c r="A68" s="418"/>
      <c r="B68" s="419" t="s">
        <v>62</v>
      </c>
      <c r="C68" s="420">
        <v>206878678</v>
      </c>
      <c r="D68" s="433">
        <v>204649960</v>
      </c>
      <c r="E68" s="433">
        <v>204839719</v>
      </c>
      <c r="F68" s="433">
        <v>144528170</v>
      </c>
      <c r="G68" s="433">
        <v>141956502</v>
      </c>
      <c r="H68" s="433">
        <v>140591432</v>
      </c>
      <c r="I68" s="433">
        <v>139935500</v>
      </c>
      <c r="J68" s="433">
        <v>139397353</v>
      </c>
      <c r="K68" s="433">
        <v>140069079</v>
      </c>
      <c r="L68" s="433">
        <v>142128359</v>
      </c>
      <c r="M68" s="433">
        <v>143456820</v>
      </c>
      <c r="N68" s="433">
        <v>143092178</v>
      </c>
      <c r="O68" s="433">
        <v>151139202</v>
      </c>
      <c r="P68" s="433">
        <v>152302794</v>
      </c>
      <c r="Q68" s="433">
        <v>162954262</v>
      </c>
      <c r="R68" s="433">
        <v>161679069</v>
      </c>
      <c r="S68" s="433">
        <v>135821912</v>
      </c>
      <c r="T68" s="433">
        <v>136347873</v>
      </c>
      <c r="U68" s="433">
        <v>134174312</v>
      </c>
      <c r="V68" s="433">
        <v>134801623</v>
      </c>
      <c r="W68" s="433">
        <v>128998899</v>
      </c>
      <c r="X68" s="434">
        <v>93061783</v>
      </c>
      <c r="Y68" s="433">
        <v>93050838</v>
      </c>
      <c r="Z68" s="433">
        <v>88617989</v>
      </c>
      <c r="AA68" s="433">
        <v>85935547</v>
      </c>
      <c r="AB68" s="433">
        <v>80099316</v>
      </c>
      <c r="AC68" s="435">
        <v>79033498</v>
      </c>
      <c r="AD68" s="435">
        <v>80695426</v>
      </c>
      <c r="AE68" s="435">
        <v>71582668</v>
      </c>
      <c r="AF68" s="435">
        <v>71097409</v>
      </c>
      <c r="AG68" s="436">
        <v>70634767</v>
      </c>
      <c r="AH68" s="436">
        <v>71221877</v>
      </c>
      <c r="AI68" s="436">
        <v>70296735</v>
      </c>
      <c r="AJ68" s="437">
        <v>68938194</v>
      </c>
      <c r="AK68" s="435">
        <v>70320839</v>
      </c>
      <c r="AL68" s="435">
        <v>71338807</v>
      </c>
    </row>
    <row r="69" spans="1:38" ht="13.5" thickBot="1">
      <c r="A69" s="438"/>
      <c r="B69" s="438"/>
      <c r="C69" s="439"/>
      <c r="D69" s="439"/>
      <c r="E69" s="439"/>
      <c r="F69" s="439"/>
      <c r="G69" s="439"/>
      <c r="H69" s="439"/>
      <c r="I69" s="439"/>
      <c r="J69" s="439"/>
      <c r="K69" s="439"/>
      <c r="L69" s="439"/>
      <c r="M69" s="439"/>
      <c r="N69" s="439"/>
      <c r="O69" s="439"/>
      <c r="P69" s="439"/>
      <c r="Q69" s="439"/>
      <c r="R69" s="439"/>
      <c r="S69" s="439"/>
      <c r="T69" s="439"/>
      <c r="U69" s="439"/>
      <c r="V69" s="439"/>
      <c r="W69" s="439"/>
      <c r="X69" s="440"/>
      <c r="AG69" s="439"/>
      <c r="AH69" s="439"/>
      <c r="AI69" s="439"/>
    </row>
    <row r="70" spans="1:38" ht="12" customHeight="1" thickTop="1">
      <c r="B70" s="441"/>
      <c r="C70" s="441"/>
      <c r="D70" s="441"/>
      <c r="E70" s="441"/>
      <c r="F70" s="441"/>
      <c r="G70" s="441"/>
      <c r="H70" s="441"/>
      <c r="I70" s="441"/>
      <c r="J70" s="441"/>
      <c r="K70" s="441"/>
      <c r="L70" s="441"/>
      <c r="M70" s="441"/>
      <c r="N70" s="441"/>
      <c r="O70" s="441"/>
      <c r="P70" s="441"/>
      <c r="Q70" s="441"/>
      <c r="R70" s="441"/>
      <c r="S70" s="441"/>
      <c r="T70" s="441"/>
      <c r="U70" s="441"/>
      <c r="V70" s="441"/>
      <c r="W70" s="441"/>
      <c r="X70" s="441"/>
      <c r="Y70" s="441"/>
      <c r="Z70" s="441"/>
    </row>
    <row r="71" spans="1:38" ht="11.25" customHeight="1">
      <c r="B71" s="441"/>
      <c r="C71" s="441"/>
      <c r="D71" s="441"/>
      <c r="E71" s="441"/>
      <c r="F71" s="441"/>
      <c r="G71" s="441"/>
      <c r="H71" s="441"/>
      <c r="I71" s="441"/>
      <c r="J71" s="441"/>
      <c r="K71" s="441"/>
      <c r="L71" s="441"/>
      <c r="M71" s="441"/>
      <c r="N71" s="441"/>
      <c r="O71" s="441"/>
      <c r="P71" s="441"/>
      <c r="Q71" s="441"/>
      <c r="R71" s="441"/>
      <c r="S71" s="441"/>
      <c r="T71" s="441"/>
      <c r="U71" s="441"/>
      <c r="V71" s="441"/>
      <c r="W71" s="441"/>
      <c r="X71" s="441"/>
      <c r="Y71" s="441"/>
      <c r="Z71" s="441"/>
    </row>
    <row r="72" spans="1:38" ht="11.25" customHeight="1">
      <c r="B72" s="441"/>
      <c r="C72" s="441"/>
      <c r="D72" s="441"/>
      <c r="E72" s="441"/>
      <c r="F72" s="441"/>
      <c r="G72" s="441"/>
      <c r="H72" s="441"/>
      <c r="I72" s="441"/>
      <c r="J72" s="441"/>
      <c r="K72" s="441"/>
      <c r="L72" s="441"/>
      <c r="M72" s="441"/>
      <c r="N72" s="441"/>
      <c r="O72" s="441"/>
      <c r="P72" s="441"/>
      <c r="Q72" s="441"/>
      <c r="R72" s="441"/>
      <c r="S72" s="441"/>
      <c r="T72" s="441"/>
      <c r="U72" s="441"/>
      <c r="V72" s="441"/>
      <c r="W72" s="441"/>
      <c r="X72" s="441"/>
      <c r="Y72" s="441"/>
      <c r="Z72" s="441"/>
    </row>
    <row r="73" spans="1:38" ht="11.25" customHeight="1">
      <c r="B73" s="441"/>
      <c r="C73" s="441"/>
      <c r="D73" s="441"/>
      <c r="E73" s="441"/>
      <c r="F73" s="441"/>
      <c r="G73" s="441"/>
      <c r="H73" s="441"/>
      <c r="I73" s="441"/>
      <c r="J73" s="441"/>
      <c r="K73" s="441"/>
      <c r="L73" s="441"/>
      <c r="M73" s="441"/>
      <c r="N73" s="441"/>
      <c r="O73" s="441"/>
      <c r="P73" s="441"/>
      <c r="Q73" s="441"/>
      <c r="R73" s="441"/>
      <c r="S73" s="441"/>
      <c r="T73" s="441"/>
      <c r="U73" s="441"/>
      <c r="V73" s="441"/>
      <c r="W73" s="441"/>
      <c r="X73" s="441"/>
      <c r="Y73" s="441"/>
      <c r="Z73" s="441"/>
    </row>
    <row r="74" spans="1:38">
      <c r="B74" s="441"/>
      <c r="C74" s="441"/>
      <c r="D74" s="441"/>
      <c r="E74" s="441"/>
      <c r="F74" s="441"/>
      <c r="G74" s="441"/>
      <c r="H74" s="441"/>
      <c r="I74" s="441"/>
      <c r="J74" s="441"/>
      <c r="K74" s="441"/>
      <c r="L74" s="441"/>
      <c r="M74" s="441"/>
      <c r="N74" s="441"/>
      <c r="O74" s="441"/>
      <c r="P74" s="441"/>
      <c r="Q74" s="441"/>
      <c r="R74" s="441"/>
      <c r="S74" s="441"/>
      <c r="T74" s="441"/>
      <c r="U74" s="441"/>
      <c r="V74" s="441"/>
      <c r="W74" s="441"/>
      <c r="X74" s="441"/>
    </row>
  </sheetData>
  <sheetProtection formatCells="0" insertColumns="0" insertRows="0" deleteColumns="0" deleteRows="0" selectLockedCells="1"/>
  <mergeCells count="3">
    <mergeCell ref="A11:B11"/>
    <mergeCell ref="A37:B37"/>
    <mergeCell ref="A69:B69"/>
  </mergeCells>
  <pageMargins left="1.0236220472440944" right="1.0236220472440944" top="0.70866141732283472" bottom="0.70866141732283472" header="0.51181102362204722" footer="0.51181102362204722"/>
  <pageSetup paperSize="9" firstPageNumber="53" orientation="portrait" useFirstPageNumber="1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8:AZ67"/>
  <sheetViews>
    <sheetView showGridLines="0" zoomScale="90" zoomScaleNormal="90" workbookViewId="0">
      <pane ySplit="11" topLeftCell="A12" activePane="bottomLeft" state="frozen"/>
      <selection activeCell="B11" sqref="B11"/>
      <selection pane="bottomLeft" activeCell="K23" sqref="A23:K24"/>
    </sheetView>
  </sheetViews>
  <sheetFormatPr defaultRowHeight="12.75" outlineLevelCol="1"/>
  <cols>
    <col min="1" max="1" width="4.140625" style="444" bestFit="1" customWidth="1"/>
    <col min="2" max="2" width="96.7109375" style="444" customWidth="1"/>
    <col min="3" max="16" width="15.140625" style="444" customWidth="1"/>
    <col min="17" max="21" width="15.140625" style="444" hidden="1" customWidth="1" outlineLevel="1"/>
    <col min="22" max="22" width="13.85546875" style="444" hidden="1" customWidth="1" outlineLevel="1"/>
    <col min="23" max="24" width="11" style="444" hidden="1" customWidth="1" outlineLevel="1"/>
    <col min="25" max="27" width="11.5703125" style="444" hidden="1" customWidth="1" outlineLevel="1"/>
    <col min="28" max="28" width="11.28515625" style="444" hidden="1" customWidth="1" outlineLevel="1"/>
    <col min="29" max="30" width="13.42578125" style="444" hidden="1" customWidth="1" outlineLevel="1"/>
    <col min="31" max="47" width="13.140625" style="444" hidden="1" customWidth="1" outlineLevel="1"/>
    <col min="48" max="48" width="0" style="444" hidden="1" customWidth="1" outlineLevel="1"/>
    <col min="49" max="49" width="11" style="444" hidden="1" customWidth="1" outlineLevel="1"/>
    <col min="50" max="50" width="9.140625" style="444" collapsed="1"/>
    <col min="51" max="16384" width="9.140625" style="444"/>
  </cols>
  <sheetData>
    <row r="8" spans="1:52" s="400" customFormat="1">
      <c r="A8" s="399" t="s">
        <v>464</v>
      </c>
      <c r="B8" s="443"/>
      <c r="C8" s="443"/>
      <c r="D8" s="443"/>
      <c r="E8" s="443"/>
      <c r="F8" s="443"/>
      <c r="G8" s="443"/>
      <c r="H8" s="443"/>
      <c r="I8" s="443"/>
      <c r="J8" s="443"/>
      <c r="K8" s="443"/>
      <c r="L8" s="443"/>
      <c r="M8" s="443"/>
      <c r="N8" s="443"/>
      <c r="O8" s="443"/>
      <c r="P8" s="444"/>
      <c r="Q8" s="443"/>
      <c r="R8" s="443"/>
      <c r="S8" s="443"/>
      <c r="T8" s="443"/>
      <c r="U8" s="443"/>
      <c r="V8" s="443"/>
      <c r="W8" s="443"/>
      <c r="X8" s="443"/>
      <c r="Y8" s="443"/>
      <c r="Z8" s="443"/>
      <c r="AA8" s="443"/>
      <c r="AB8" s="443"/>
      <c r="AC8" s="443"/>
      <c r="AD8" s="443"/>
    </row>
    <row r="9" spans="1:52" s="400" customFormat="1" ht="13.5" thickBot="1">
      <c r="P9" s="444"/>
    </row>
    <row r="10" spans="1:52" s="400" customFormat="1" ht="14.25" customHeight="1" thickTop="1" thickBot="1">
      <c r="P10" s="444"/>
      <c r="Y10" s="445" t="s">
        <v>506</v>
      </c>
      <c r="Z10" s="446"/>
      <c r="AA10" s="446"/>
      <c r="AB10" s="447"/>
      <c r="AX10" s="448"/>
    </row>
    <row r="11" spans="1:52" s="400" customFormat="1" ht="36" customHeight="1" thickBot="1">
      <c r="A11" s="449" t="s">
        <v>64</v>
      </c>
      <c r="B11" s="449"/>
      <c r="C11" s="450" t="s">
        <v>597</v>
      </c>
      <c r="D11" s="451" t="s">
        <v>586</v>
      </c>
      <c r="E11" s="451" t="s">
        <v>584</v>
      </c>
      <c r="F11" s="451" t="s">
        <v>582</v>
      </c>
      <c r="G11" s="451" t="s">
        <v>579</v>
      </c>
      <c r="H11" s="451" t="s">
        <v>577</v>
      </c>
      <c r="I11" s="451" t="s">
        <v>576</v>
      </c>
      <c r="J11" s="451" t="s">
        <v>575</v>
      </c>
      <c r="K11" s="451" t="s">
        <v>547</v>
      </c>
      <c r="L11" s="451" t="s">
        <v>541</v>
      </c>
      <c r="M11" s="451" t="s">
        <v>534</v>
      </c>
      <c r="N11" s="451" t="s">
        <v>532</v>
      </c>
      <c r="O11" s="451" t="s">
        <v>531</v>
      </c>
      <c r="P11" s="444"/>
      <c r="Q11" s="452" t="s">
        <v>529</v>
      </c>
      <c r="R11" s="452" t="s">
        <v>517</v>
      </c>
      <c r="S11" s="452" t="s">
        <v>516</v>
      </c>
      <c r="T11" s="452" t="s">
        <v>515</v>
      </c>
      <c r="U11" s="451" t="s">
        <v>511</v>
      </c>
      <c r="V11" s="451" t="s">
        <v>510</v>
      </c>
      <c r="W11" s="451" t="s">
        <v>509</v>
      </c>
      <c r="X11" s="451" t="s">
        <v>507</v>
      </c>
      <c r="Y11" s="453" t="s">
        <v>504</v>
      </c>
      <c r="Z11" s="452" t="s">
        <v>496</v>
      </c>
      <c r="AA11" s="452" t="s">
        <v>493</v>
      </c>
      <c r="AB11" s="454" t="s">
        <v>492</v>
      </c>
      <c r="AC11" s="452" t="s">
        <v>504</v>
      </c>
      <c r="AD11" s="452" t="s">
        <v>505</v>
      </c>
      <c r="AE11" s="455" t="s">
        <v>496</v>
      </c>
      <c r="AF11" s="455" t="s">
        <v>503</v>
      </c>
      <c r="AG11" s="455" t="s">
        <v>493</v>
      </c>
      <c r="AH11" s="455" t="s">
        <v>494</v>
      </c>
      <c r="AI11" s="455" t="s">
        <v>492</v>
      </c>
      <c r="AJ11" s="456" t="s">
        <v>490</v>
      </c>
      <c r="AK11" s="456" t="s">
        <v>491</v>
      </c>
      <c r="AL11" s="456" t="s">
        <v>486</v>
      </c>
      <c r="AM11" s="456" t="s">
        <v>488</v>
      </c>
      <c r="AN11" s="456" t="s">
        <v>484</v>
      </c>
      <c r="AO11" s="456" t="s">
        <v>485</v>
      </c>
      <c r="AP11" s="456" t="s">
        <v>483</v>
      </c>
      <c r="AQ11" s="455" t="s">
        <v>478</v>
      </c>
      <c r="AR11" s="455" t="s">
        <v>480</v>
      </c>
      <c r="AS11" s="455" t="s">
        <v>465</v>
      </c>
      <c r="AT11" s="455" t="s">
        <v>466</v>
      </c>
      <c r="AU11" s="455" t="s">
        <v>308</v>
      </c>
      <c r="AV11" s="455" t="s">
        <v>352</v>
      </c>
      <c r="AW11" s="457" t="s">
        <v>309</v>
      </c>
    </row>
    <row r="12" spans="1:52" s="400" customFormat="1" ht="2.25" customHeight="1">
      <c r="C12" s="442"/>
      <c r="P12" s="444"/>
      <c r="Q12" s="458"/>
      <c r="R12" s="458"/>
      <c r="S12" s="458"/>
      <c r="T12" s="458"/>
      <c r="Y12" s="459"/>
      <c r="Z12" s="458"/>
      <c r="AA12" s="458"/>
      <c r="AB12" s="460"/>
      <c r="AC12" s="458"/>
      <c r="AD12" s="458"/>
      <c r="AE12" s="458"/>
      <c r="AF12" s="458"/>
      <c r="AG12" s="458"/>
      <c r="AH12" s="458"/>
      <c r="AI12" s="458"/>
      <c r="AQ12" s="458"/>
      <c r="AR12" s="458"/>
      <c r="AS12" s="458"/>
      <c r="AT12" s="458"/>
      <c r="AU12" s="458"/>
      <c r="AV12" s="458"/>
      <c r="AW12" s="458"/>
    </row>
    <row r="13" spans="1:52" s="400" customFormat="1" ht="12.75" customHeight="1">
      <c r="A13" s="461" t="s">
        <v>4</v>
      </c>
      <c r="B13" s="462" t="s">
        <v>312</v>
      </c>
      <c r="C13" s="463">
        <v>1436105</v>
      </c>
      <c r="D13" s="432">
        <v>5180136</v>
      </c>
      <c r="E13" s="432">
        <v>3744494</v>
      </c>
      <c r="F13" s="432">
        <v>2220806</v>
      </c>
      <c r="G13" s="432">
        <v>1127816</v>
      </c>
      <c r="H13" s="432">
        <v>5013543</v>
      </c>
      <c r="I13" s="432">
        <v>3802882</v>
      </c>
      <c r="J13" s="432">
        <v>2558481</v>
      </c>
      <c r="K13" s="432">
        <v>1289186</v>
      </c>
      <c r="L13" s="432">
        <v>4762627</v>
      </c>
      <c r="M13" s="432">
        <v>3465644</v>
      </c>
      <c r="N13" s="432">
        <v>2236727</v>
      </c>
      <c r="O13" s="432">
        <v>1052754</v>
      </c>
      <c r="P13" s="444"/>
      <c r="Q13" s="430">
        <v>2259459</v>
      </c>
      <c r="R13" s="430">
        <v>1514772</v>
      </c>
      <c r="S13" s="430">
        <v>921333</v>
      </c>
      <c r="T13" s="430">
        <v>438844</v>
      </c>
      <c r="U13" s="432">
        <v>1762746</v>
      </c>
      <c r="V13" s="432">
        <v>1309831</v>
      </c>
      <c r="W13" s="432">
        <v>850808</v>
      </c>
      <c r="X13" s="432">
        <v>398172</v>
      </c>
      <c r="Y13" s="464">
        <v>1431109</v>
      </c>
      <c r="Z13" s="430">
        <v>1086160</v>
      </c>
      <c r="AA13" s="430">
        <v>716346</v>
      </c>
      <c r="AB13" s="465">
        <v>359864</v>
      </c>
      <c r="AC13" s="430">
        <v>1431109</v>
      </c>
      <c r="AD13" s="430">
        <f>+AC13-AE13</f>
        <v>344949</v>
      </c>
      <c r="AE13" s="430">
        <v>1086160</v>
      </c>
      <c r="AF13" s="430">
        <v>369814</v>
      </c>
      <c r="AG13" s="430">
        <v>716346</v>
      </c>
      <c r="AH13" s="430">
        <v>356482</v>
      </c>
      <c r="AI13" s="430">
        <v>359864</v>
      </c>
      <c r="AJ13" s="432">
        <v>1419767</v>
      </c>
      <c r="AK13" s="432">
        <v>362123</v>
      </c>
      <c r="AL13" s="432">
        <v>1057644</v>
      </c>
      <c r="AM13" s="432">
        <v>396211</v>
      </c>
      <c r="AN13" s="432">
        <v>661433</v>
      </c>
      <c r="AO13" s="432">
        <f>+AL13-AP13</f>
        <v>726770</v>
      </c>
      <c r="AP13" s="432">
        <v>330874</v>
      </c>
      <c r="AQ13" s="430">
        <v>1375925</v>
      </c>
      <c r="AR13" s="430">
        <v>305070</v>
      </c>
      <c r="AS13" s="430">
        <v>1070855</v>
      </c>
      <c r="AT13" s="430">
        <v>367035</v>
      </c>
      <c r="AU13" s="430">
        <v>703820</v>
      </c>
      <c r="AV13" s="430">
        <v>337279</v>
      </c>
      <c r="AW13" s="430">
        <v>366541</v>
      </c>
      <c r="AX13" s="432"/>
      <c r="AY13" s="432"/>
      <c r="AZ13" s="432"/>
    </row>
    <row r="14" spans="1:52" s="400" customFormat="1" ht="12.75" customHeight="1">
      <c r="A14" s="461"/>
      <c r="B14" s="462" t="s">
        <v>599</v>
      </c>
      <c r="C14" s="463">
        <v>1345561</v>
      </c>
      <c r="D14" s="432">
        <v>4873153</v>
      </c>
      <c r="E14" s="432">
        <v>3508855</v>
      </c>
      <c r="F14" s="432">
        <v>2087255</v>
      </c>
      <c r="G14" s="432">
        <v>1059939</v>
      </c>
      <c r="H14" s="432">
        <v>4732879</v>
      </c>
      <c r="I14" s="432">
        <v>3590260</v>
      </c>
      <c r="J14" s="432">
        <v>2415968</v>
      </c>
      <c r="K14" s="432">
        <v>1217430</v>
      </c>
      <c r="L14" s="432">
        <v>4561445</v>
      </c>
      <c r="M14" s="432">
        <v>3337799</v>
      </c>
      <c r="N14" s="432">
        <v>2162403</v>
      </c>
      <c r="O14" s="432">
        <v>1013938</v>
      </c>
      <c r="P14" s="444"/>
      <c r="Q14" s="430"/>
      <c r="R14" s="430"/>
      <c r="S14" s="430"/>
      <c r="T14" s="430"/>
      <c r="U14" s="432"/>
      <c r="V14" s="432"/>
      <c r="W14" s="432"/>
      <c r="X14" s="432"/>
      <c r="Y14" s="464"/>
      <c r="Z14" s="430"/>
      <c r="AA14" s="430"/>
      <c r="AB14" s="465"/>
      <c r="AC14" s="430"/>
      <c r="AD14" s="430"/>
      <c r="AE14" s="430"/>
      <c r="AF14" s="430"/>
      <c r="AG14" s="430"/>
      <c r="AH14" s="430"/>
      <c r="AI14" s="430"/>
      <c r="AJ14" s="432"/>
      <c r="AK14" s="432"/>
      <c r="AL14" s="432"/>
      <c r="AM14" s="432"/>
      <c r="AN14" s="432"/>
      <c r="AO14" s="432"/>
      <c r="AP14" s="432"/>
      <c r="AQ14" s="430"/>
      <c r="AR14" s="430"/>
      <c r="AS14" s="430"/>
      <c r="AT14" s="430"/>
      <c r="AU14" s="430"/>
      <c r="AV14" s="430"/>
      <c r="AW14" s="430"/>
      <c r="AX14" s="432"/>
      <c r="AY14" s="432"/>
      <c r="AZ14" s="432"/>
    </row>
    <row r="15" spans="1:52" s="400" customFormat="1">
      <c r="A15" s="461" t="s">
        <v>6</v>
      </c>
      <c r="B15" s="462" t="s">
        <v>313</v>
      </c>
      <c r="C15" s="463">
        <v>-374237</v>
      </c>
      <c r="D15" s="432">
        <v>-1371617</v>
      </c>
      <c r="E15" s="432">
        <v>-1018642</v>
      </c>
      <c r="F15" s="432">
        <v>-594788</v>
      </c>
      <c r="G15" s="432">
        <v>-315940</v>
      </c>
      <c r="H15" s="432">
        <v>-1636667</v>
      </c>
      <c r="I15" s="432">
        <v>-1279657</v>
      </c>
      <c r="J15" s="432">
        <v>-876009</v>
      </c>
      <c r="K15" s="432">
        <v>-445566</v>
      </c>
      <c r="L15" s="432">
        <v>-1510810</v>
      </c>
      <c r="M15" s="432">
        <v>-1084127</v>
      </c>
      <c r="N15" s="432">
        <v>-691758</v>
      </c>
      <c r="O15" s="432">
        <v>-326765</v>
      </c>
      <c r="P15" s="444"/>
      <c r="Q15" s="430">
        <v>-433566</v>
      </c>
      <c r="R15" s="430">
        <v>-254342</v>
      </c>
      <c r="S15" s="430">
        <v>-135884</v>
      </c>
      <c r="T15" s="430">
        <v>-62415</v>
      </c>
      <c r="U15" s="432">
        <v>-257384</v>
      </c>
      <c r="V15" s="432">
        <v>-190412</v>
      </c>
      <c r="W15" s="432">
        <v>-122486</v>
      </c>
      <c r="X15" s="432">
        <v>-54659</v>
      </c>
      <c r="Y15" s="464">
        <v>-192233</v>
      </c>
      <c r="Z15" s="430">
        <v>-142417</v>
      </c>
      <c r="AA15" s="430">
        <v>-98095</v>
      </c>
      <c r="AB15" s="465">
        <v>-51893</v>
      </c>
      <c r="AC15" s="430">
        <v>-192233</v>
      </c>
      <c r="AD15" s="430">
        <f t="shared" ref="AD15:AD60" si="0">+AC15-AE15</f>
        <v>-49816</v>
      </c>
      <c r="AE15" s="430">
        <v>-142417</v>
      </c>
      <c r="AF15" s="430">
        <v>-44322</v>
      </c>
      <c r="AG15" s="430">
        <v>-98095</v>
      </c>
      <c r="AH15" s="430">
        <v>-46202</v>
      </c>
      <c r="AI15" s="430">
        <v>-51893</v>
      </c>
      <c r="AJ15" s="432">
        <v>-255228</v>
      </c>
      <c r="AK15" s="432">
        <v>-59677</v>
      </c>
      <c r="AL15" s="432">
        <v>-195551</v>
      </c>
      <c r="AM15" s="432">
        <v>-80302</v>
      </c>
      <c r="AN15" s="432">
        <v>-115249</v>
      </c>
      <c r="AO15" s="432">
        <f t="shared" ref="AO15:AO60" si="1">+AL15-AP15</f>
        <v>-138573</v>
      </c>
      <c r="AP15" s="432">
        <v>-56978</v>
      </c>
      <c r="AQ15" s="430">
        <v>-253488</v>
      </c>
      <c r="AR15" s="430">
        <v>-32725</v>
      </c>
      <c r="AS15" s="430">
        <v>-220763</v>
      </c>
      <c r="AT15" s="430">
        <v>-90445</v>
      </c>
      <c r="AU15" s="430">
        <v>-130318</v>
      </c>
      <c r="AV15" s="430">
        <v>-57011</v>
      </c>
      <c r="AW15" s="430">
        <v>-73307</v>
      </c>
      <c r="AX15" s="432"/>
      <c r="AY15" s="432"/>
      <c r="AZ15" s="432"/>
    </row>
    <row r="16" spans="1:52" s="400" customFormat="1" ht="12.75" customHeight="1">
      <c r="A16" s="466" t="s">
        <v>8</v>
      </c>
      <c r="B16" s="467" t="s">
        <v>68</v>
      </c>
      <c r="C16" s="468">
        <v>1061868</v>
      </c>
      <c r="D16" s="469">
        <v>3808519</v>
      </c>
      <c r="E16" s="469">
        <v>2725852</v>
      </c>
      <c r="F16" s="469">
        <v>1626018</v>
      </c>
      <c r="G16" s="469">
        <v>811876</v>
      </c>
      <c r="H16" s="469">
        <v>3376876</v>
      </c>
      <c r="I16" s="469">
        <v>2523225</v>
      </c>
      <c r="J16" s="469">
        <v>1682472</v>
      </c>
      <c r="K16" s="469">
        <v>843620</v>
      </c>
      <c r="L16" s="469">
        <v>3251817</v>
      </c>
      <c r="M16" s="469">
        <v>2381517</v>
      </c>
      <c r="N16" s="469">
        <v>1544969</v>
      </c>
      <c r="O16" s="469">
        <v>725989</v>
      </c>
      <c r="P16" s="444"/>
      <c r="Q16" s="470">
        <v>1825893</v>
      </c>
      <c r="R16" s="470">
        <v>1260430</v>
      </c>
      <c r="S16" s="470">
        <v>785449</v>
      </c>
      <c r="T16" s="470">
        <v>376429</v>
      </c>
      <c r="U16" s="469">
        <v>1505362</v>
      </c>
      <c r="V16" s="469">
        <v>1119419</v>
      </c>
      <c r="W16" s="469">
        <v>728322</v>
      </c>
      <c r="X16" s="469">
        <v>343513</v>
      </c>
      <c r="Y16" s="471">
        <v>1238876</v>
      </c>
      <c r="Z16" s="470">
        <v>943743</v>
      </c>
      <c r="AA16" s="470">
        <v>618251</v>
      </c>
      <c r="AB16" s="472">
        <v>307971</v>
      </c>
      <c r="AC16" s="470">
        <v>1238876</v>
      </c>
      <c r="AD16" s="470">
        <f t="shared" si="0"/>
        <v>295133</v>
      </c>
      <c r="AE16" s="470">
        <v>943743</v>
      </c>
      <c r="AF16" s="470">
        <v>325492</v>
      </c>
      <c r="AG16" s="470">
        <v>618251</v>
      </c>
      <c r="AH16" s="470">
        <v>310280</v>
      </c>
      <c r="AI16" s="470">
        <v>307971</v>
      </c>
      <c r="AJ16" s="469">
        <v>1164539</v>
      </c>
      <c r="AK16" s="469">
        <v>302446</v>
      </c>
      <c r="AL16" s="469">
        <v>862093</v>
      </c>
      <c r="AM16" s="469">
        <v>315909</v>
      </c>
      <c r="AN16" s="469">
        <v>546184</v>
      </c>
      <c r="AO16" s="469">
        <f t="shared" si="1"/>
        <v>588197</v>
      </c>
      <c r="AP16" s="469">
        <v>273896</v>
      </c>
      <c r="AQ16" s="470">
        <v>1122437</v>
      </c>
      <c r="AR16" s="470">
        <v>272345</v>
      </c>
      <c r="AS16" s="470">
        <v>850092</v>
      </c>
      <c r="AT16" s="470">
        <v>276590</v>
      </c>
      <c r="AU16" s="470">
        <v>573502</v>
      </c>
      <c r="AV16" s="470">
        <v>280268</v>
      </c>
      <c r="AW16" s="470">
        <v>293234</v>
      </c>
      <c r="AX16" s="432"/>
      <c r="AY16" s="432"/>
      <c r="AZ16" s="432"/>
    </row>
    <row r="17" spans="1:52" s="400" customFormat="1">
      <c r="A17" s="461" t="s">
        <v>9</v>
      </c>
      <c r="B17" s="462" t="s">
        <v>314</v>
      </c>
      <c r="C17" s="463">
        <v>736534</v>
      </c>
      <c r="D17" s="432">
        <v>2671648</v>
      </c>
      <c r="E17" s="432">
        <v>1910414</v>
      </c>
      <c r="F17" s="432">
        <v>1188480</v>
      </c>
      <c r="G17" s="432">
        <v>598449</v>
      </c>
      <c r="H17" s="432">
        <v>2297982</v>
      </c>
      <c r="I17" s="432">
        <v>1667446</v>
      </c>
      <c r="J17" s="432">
        <v>1119155</v>
      </c>
      <c r="K17" s="432">
        <v>549881</v>
      </c>
      <c r="L17" s="432">
        <v>2157849</v>
      </c>
      <c r="M17" s="432">
        <v>1583208</v>
      </c>
      <c r="N17" s="432">
        <v>1064151</v>
      </c>
      <c r="O17" s="432">
        <v>537266</v>
      </c>
      <c r="P17" s="444"/>
      <c r="Q17" s="430">
        <v>2116710</v>
      </c>
      <c r="R17" s="430">
        <v>1557714</v>
      </c>
      <c r="S17" s="430">
        <v>1008292</v>
      </c>
      <c r="T17" s="430">
        <v>493696</v>
      </c>
      <c r="U17" s="432">
        <v>1845386</v>
      </c>
      <c r="V17" s="432">
        <v>1322314</v>
      </c>
      <c r="W17" s="432">
        <v>832445</v>
      </c>
      <c r="X17" s="432">
        <v>375117</v>
      </c>
      <c r="Y17" s="464">
        <v>1246875</v>
      </c>
      <c r="Z17" s="430">
        <v>902370</v>
      </c>
      <c r="AA17" s="430">
        <v>596441</v>
      </c>
      <c r="AB17" s="465">
        <v>309431</v>
      </c>
      <c r="AC17" s="430">
        <v>1246875</v>
      </c>
      <c r="AD17" s="430">
        <f t="shared" si="0"/>
        <v>344505</v>
      </c>
      <c r="AE17" s="430">
        <v>902370</v>
      </c>
      <c r="AF17" s="430">
        <v>305929</v>
      </c>
      <c r="AG17" s="430">
        <v>596441</v>
      </c>
      <c r="AH17" s="430">
        <v>287010</v>
      </c>
      <c r="AI17" s="430">
        <v>309431</v>
      </c>
      <c r="AJ17" s="432">
        <v>1043000</v>
      </c>
      <c r="AK17" s="432">
        <v>322921</v>
      </c>
      <c r="AL17" s="432">
        <v>720079</v>
      </c>
      <c r="AM17" s="432">
        <v>313964</v>
      </c>
      <c r="AN17" s="432">
        <v>406115</v>
      </c>
      <c r="AO17" s="432">
        <f t="shared" si="1"/>
        <v>518606</v>
      </c>
      <c r="AP17" s="432">
        <v>201473</v>
      </c>
      <c r="AQ17" s="430">
        <v>812147</v>
      </c>
      <c r="AR17" s="430">
        <v>208495</v>
      </c>
      <c r="AS17" s="430">
        <v>603652</v>
      </c>
      <c r="AT17" s="430">
        <v>196944</v>
      </c>
      <c r="AU17" s="430">
        <v>406708</v>
      </c>
      <c r="AV17" s="430">
        <v>200061</v>
      </c>
      <c r="AW17" s="430">
        <v>206647</v>
      </c>
      <c r="AX17" s="432"/>
      <c r="AY17" s="432"/>
      <c r="AZ17" s="432"/>
    </row>
    <row r="18" spans="1:52" s="400" customFormat="1">
      <c r="A18" s="461" t="s">
        <v>11</v>
      </c>
      <c r="B18" s="462" t="s">
        <v>315</v>
      </c>
      <c r="C18" s="463">
        <v>-64334</v>
      </c>
      <c r="D18" s="432">
        <v>-290347</v>
      </c>
      <c r="E18" s="432">
        <v>-219467</v>
      </c>
      <c r="F18" s="432">
        <v>-140955</v>
      </c>
      <c r="G18" s="432">
        <v>-66068</v>
      </c>
      <c r="H18" s="432">
        <v>-257811</v>
      </c>
      <c r="I18" s="432">
        <v>-175820</v>
      </c>
      <c r="J18" s="432">
        <v>-115471</v>
      </c>
      <c r="K18" s="432">
        <v>-56892</v>
      </c>
      <c r="L18" s="432">
        <v>-212511</v>
      </c>
      <c r="M18" s="432">
        <v>-151444</v>
      </c>
      <c r="N18" s="432">
        <v>-100892</v>
      </c>
      <c r="O18" s="432">
        <v>-50129</v>
      </c>
      <c r="P18" s="444"/>
      <c r="Q18" s="430">
        <v>-194910</v>
      </c>
      <c r="R18" s="430">
        <v>-154398</v>
      </c>
      <c r="S18" s="430">
        <v>-106457</v>
      </c>
      <c r="T18" s="430">
        <v>-52590</v>
      </c>
      <c r="U18" s="432">
        <v>-203811</v>
      </c>
      <c r="V18" s="432">
        <v>-149905</v>
      </c>
      <c r="W18" s="432">
        <v>-98487</v>
      </c>
      <c r="X18" s="432">
        <v>-46985</v>
      </c>
      <c r="Y18" s="464">
        <v>-174361</v>
      </c>
      <c r="Z18" s="430">
        <v>-127546</v>
      </c>
      <c r="AA18" s="430">
        <v>-83744</v>
      </c>
      <c r="AB18" s="465">
        <v>-41836</v>
      </c>
      <c r="AC18" s="430">
        <v>-174361</v>
      </c>
      <c r="AD18" s="430">
        <f t="shared" si="0"/>
        <v>-46815</v>
      </c>
      <c r="AE18" s="430">
        <v>-127546</v>
      </c>
      <c r="AF18" s="430">
        <v>-43802</v>
      </c>
      <c r="AG18" s="430">
        <v>-83744</v>
      </c>
      <c r="AH18" s="430">
        <v>-41908</v>
      </c>
      <c r="AI18" s="430">
        <v>-41836</v>
      </c>
      <c r="AJ18" s="432">
        <v>-111050</v>
      </c>
      <c r="AK18" s="432">
        <v>-47041</v>
      </c>
      <c r="AL18" s="432">
        <v>-64009</v>
      </c>
      <c r="AM18" s="432">
        <v>-45648</v>
      </c>
      <c r="AN18" s="432">
        <v>-18361</v>
      </c>
      <c r="AO18" s="432">
        <f t="shared" si="1"/>
        <v>-55080</v>
      </c>
      <c r="AP18" s="432">
        <v>-8929</v>
      </c>
      <c r="AQ18" s="430">
        <v>-35882</v>
      </c>
      <c r="AR18" s="430">
        <v>-9311</v>
      </c>
      <c r="AS18" s="430">
        <v>-26571</v>
      </c>
      <c r="AT18" s="430">
        <v>-8919</v>
      </c>
      <c r="AU18" s="430">
        <v>-17652</v>
      </c>
      <c r="AV18" s="430">
        <v>-9125</v>
      </c>
      <c r="AW18" s="430">
        <v>-8527</v>
      </c>
      <c r="AX18" s="432"/>
      <c r="AY18" s="432"/>
      <c r="AZ18" s="432"/>
    </row>
    <row r="19" spans="1:52" s="400" customFormat="1">
      <c r="A19" s="466" t="s">
        <v>13</v>
      </c>
      <c r="B19" s="467" t="s">
        <v>71</v>
      </c>
      <c r="C19" s="468">
        <v>672200</v>
      </c>
      <c r="D19" s="469">
        <v>2381301</v>
      </c>
      <c r="E19" s="469">
        <v>1690947</v>
      </c>
      <c r="F19" s="469">
        <v>1047525</v>
      </c>
      <c r="G19" s="469">
        <v>532381</v>
      </c>
      <c r="H19" s="469">
        <v>2040171</v>
      </c>
      <c r="I19" s="469">
        <v>1491626</v>
      </c>
      <c r="J19" s="469">
        <v>1003684</v>
      </c>
      <c r="K19" s="469">
        <v>492989</v>
      </c>
      <c r="L19" s="469">
        <v>1945338</v>
      </c>
      <c r="M19" s="469">
        <v>1431764</v>
      </c>
      <c r="N19" s="469">
        <v>963259</v>
      </c>
      <c r="O19" s="469">
        <v>487137</v>
      </c>
      <c r="P19" s="444"/>
      <c r="Q19" s="470">
        <v>1921800</v>
      </c>
      <c r="R19" s="470">
        <v>1403316</v>
      </c>
      <c r="S19" s="470">
        <v>901835</v>
      </c>
      <c r="T19" s="470">
        <v>441106</v>
      </c>
      <c r="U19" s="469">
        <v>1641575</v>
      </c>
      <c r="V19" s="469">
        <v>1172409</v>
      </c>
      <c r="W19" s="469">
        <v>733958</v>
      </c>
      <c r="X19" s="469">
        <v>328132</v>
      </c>
      <c r="Y19" s="471">
        <v>1072514</v>
      </c>
      <c r="Z19" s="470">
        <v>774824</v>
      </c>
      <c r="AA19" s="470">
        <v>512697</v>
      </c>
      <c r="AB19" s="472">
        <v>267595</v>
      </c>
      <c r="AC19" s="470">
        <v>1072514</v>
      </c>
      <c r="AD19" s="470">
        <f t="shared" si="0"/>
        <v>297690</v>
      </c>
      <c r="AE19" s="470">
        <v>774824</v>
      </c>
      <c r="AF19" s="470">
        <v>262127</v>
      </c>
      <c r="AG19" s="470">
        <v>512697</v>
      </c>
      <c r="AH19" s="470">
        <v>245102</v>
      </c>
      <c r="AI19" s="470">
        <v>267595</v>
      </c>
      <c r="AJ19" s="469">
        <v>931950</v>
      </c>
      <c r="AK19" s="469">
        <v>275880</v>
      </c>
      <c r="AL19" s="469">
        <v>656070</v>
      </c>
      <c r="AM19" s="469">
        <v>268316</v>
      </c>
      <c r="AN19" s="469">
        <v>387754</v>
      </c>
      <c r="AO19" s="469">
        <f t="shared" si="1"/>
        <v>463526</v>
      </c>
      <c r="AP19" s="469">
        <v>192544</v>
      </c>
      <c r="AQ19" s="470">
        <v>776265</v>
      </c>
      <c r="AR19" s="470">
        <v>199184</v>
      </c>
      <c r="AS19" s="470">
        <v>577081</v>
      </c>
      <c r="AT19" s="470">
        <v>188025</v>
      </c>
      <c r="AU19" s="470">
        <v>389056</v>
      </c>
      <c r="AV19" s="470">
        <v>190936</v>
      </c>
      <c r="AW19" s="470">
        <v>198120</v>
      </c>
      <c r="AX19" s="432"/>
      <c r="AY19" s="432"/>
      <c r="AZ19" s="432"/>
    </row>
    <row r="20" spans="1:52" s="400" customFormat="1">
      <c r="A20" s="461" t="s">
        <v>15</v>
      </c>
      <c r="B20" s="473" t="s">
        <v>316</v>
      </c>
      <c r="C20" s="463">
        <v>12469</v>
      </c>
      <c r="D20" s="432">
        <v>62764</v>
      </c>
      <c r="E20" s="432">
        <v>54156</v>
      </c>
      <c r="F20" s="432">
        <v>43023</v>
      </c>
      <c r="G20" s="432">
        <v>3290</v>
      </c>
      <c r="H20" s="432">
        <v>41821</v>
      </c>
      <c r="I20" s="432">
        <v>40396</v>
      </c>
      <c r="J20" s="432">
        <v>37093</v>
      </c>
      <c r="K20" s="432">
        <v>4882</v>
      </c>
      <c r="L20" s="432">
        <v>30884</v>
      </c>
      <c r="M20" s="432">
        <v>29945</v>
      </c>
      <c r="N20" s="432">
        <v>25135</v>
      </c>
      <c r="O20" s="432">
        <v>2223</v>
      </c>
      <c r="P20" s="444"/>
      <c r="Q20" s="430">
        <v>22124</v>
      </c>
      <c r="R20" s="430">
        <v>19192</v>
      </c>
      <c r="S20" s="430">
        <v>15883</v>
      </c>
      <c r="T20" s="430">
        <v>286</v>
      </c>
      <c r="U20" s="432">
        <v>20084</v>
      </c>
      <c r="V20" s="432">
        <v>14624</v>
      </c>
      <c r="W20" s="432">
        <v>13947</v>
      </c>
      <c r="X20" s="432">
        <v>1678</v>
      </c>
      <c r="Y20" s="464">
        <v>18492</v>
      </c>
      <c r="Z20" s="430">
        <v>17393</v>
      </c>
      <c r="AA20" s="430">
        <v>12843</v>
      </c>
      <c r="AB20" s="465">
        <v>809</v>
      </c>
      <c r="AC20" s="430">
        <v>18492</v>
      </c>
      <c r="AD20" s="430">
        <f t="shared" si="0"/>
        <v>1099</v>
      </c>
      <c r="AE20" s="430">
        <v>17393</v>
      </c>
      <c r="AF20" s="430">
        <v>4550</v>
      </c>
      <c r="AG20" s="430">
        <v>12843</v>
      </c>
      <c r="AH20" s="430">
        <v>12034</v>
      </c>
      <c r="AI20" s="430">
        <v>809</v>
      </c>
      <c r="AJ20" s="432">
        <v>14101</v>
      </c>
      <c r="AK20" s="432">
        <v>451</v>
      </c>
      <c r="AL20" s="432">
        <v>13650</v>
      </c>
      <c r="AM20" s="432">
        <v>3424</v>
      </c>
      <c r="AN20" s="432">
        <v>10226</v>
      </c>
      <c r="AO20" s="432">
        <f t="shared" si="1"/>
        <v>13111</v>
      </c>
      <c r="AP20" s="432">
        <v>539</v>
      </c>
      <c r="AQ20" s="430">
        <v>34339</v>
      </c>
      <c r="AR20" s="430">
        <v>20553</v>
      </c>
      <c r="AS20" s="430">
        <v>13786</v>
      </c>
      <c r="AT20" s="430">
        <v>325</v>
      </c>
      <c r="AU20" s="430">
        <v>13461</v>
      </c>
      <c r="AV20" s="430">
        <v>12877</v>
      </c>
      <c r="AW20" s="430">
        <v>584</v>
      </c>
      <c r="AX20" s="432"/>
      <c r="AY20" s="432"/>
      <c r="AZ20" s="432"/>
    </row>
    <row r="21" spans="1:52" s="400" customFormat="1">
      <c r="A21" s="461" t="s">
        <v>17</v>
      </c>
      <c r="B21" s="462" t="s">
        <v>317</v>
      </c>
      <c r="C21" s="463">
        <v>-62515</v>
      </c>
      <c r="D21" s="432">
        <v>280877</v>
      </c>
      <c r="E21" s="432">
        <v>187235</v>
      </c>
      <c r="F21" s="432">
        <v>138843</v>
      </c>
      <c r="G21" s="432">
        <v>76595</v>
      </c>
      <c r="H21" s="432">
        <v>95428</v>
      </c>
      <c r="I21" s="432">
        <v>91161</v>
      </c>
      <c r="J21" s="432">
        <v>2405</v>
      </c>
      <c r="K21" s="432">
        <v>17193</v>
      </c>
      <c r="L21" s="432">
        <v>152200</v>
      </c>
      <c r="M21" s="432">
        <v>45700</v>
      </c>
      <c r="N21" s="432">
        <v>42216</v>
      </c>
      <c r="O21" s="432">
        <v>46141</v>
      </c>
      <c r="P21" s="444"/>
      <c r="Q21" s="430">
        <v>78246</v>
      </c>
      <c r="R21" s="430">
        <v>45166</v>
      </c>
      <c r="S21" s="430">
        <v>56240</v>
      </c>
      <c r="T21" s="430">
        <v>44266</v>
      </c>
      <c r="U21" s="432">
        <v>67491</v>
      </c>
      <c r="V21" s="432">
        <v>47078</v>
      </c>
      <c r="W21" s="432">
        <v>37951</v>
      </c>
      <c r="X21" s="432">
        <v>28097</v>
      </c>
      <c r="Y21" s="464">
        <v>-14220</v>
      </c>
      <c r="Z21" s="430">
        <v>-15796</v>
      </c>
      <c r="AA21" s="430">
        <v>-16385</v>
      </c>
      <c r="AB21" s="465">
        <v>-21287</v>
      </c>
      <c r="AC21" s="430">
        <v>-14220</v>
      </c>
      <c r="AD21" s="430">
        <f t="shared" si="0"/>
        <v>1576</v>
      </c>
      <c r="AE21" s="430">
        <v>-15796</v>
      </c>
      <c r="AF21" s="430">
        <v>589</v>
      </c>
      <c r="AG21" s="430">
        <v>-16385</v>
      </c>
      <c r="AH21" s="430">
        <v>4902</v>
      </c>
      <c r="AI21" s="430">
        <v>-21287</v>
      </c>
      <c r="AJ21" s="432">
        <v>180</v>
      </c>
      <c r="AK21" s="432">
        <v>23734</v>
      </c>
      <c r="AL21" s="432">
        <v>-23554</v>
      </c>
      <c r="AM21" s="432">
        <v>-5558</v>
      </c>
      <c r="AN21" s="432">
        <v>-17996</v>
      </c>
      <c r="AO21" s="432">
        <f t="shared" si="1"/>
        <v>-27306</v>
      </c>
      <c r="AP21" s="432">
        <v>3752</v>
      </c>
      <c r="AQ21" s="430">
        <v>1812</v>
      </c>
      <c r="AR21" s="430">
        <v>-23405</v>
      </c>
      <c r="AS21" s="430">
        <v>25217</v>
      </c>
      <c r="AT21" s="430">
        <v>8735</v>
      </c>
      <c r="AU21" s="430">
        <v>16482</v>
      </c>
      <c r="AV21" s="430">
        <v>17328</v>
      </c>
      <c r="AW21" s="430">
        <v>-846</v>
      </c>
      <c r="AX21" s="432"/>
      <c r="AY21" s="432"/>
      <c r="AZ21" s="432"/>
    </row>
    <row r="22" spans="1:52" s="400" customFormat="1">
      <c r="A22" s="461" t="s">
        <v>41</v>
      </c>
      <c r="B22" s="462" t="s">
        <v>74</v>
      </c>
      <c r="C22" s="463">
        <v>56</v>
      </c>
      <c r="D22" s="432">
        <v>-3685</v>
      </c>
      <c r="E22" s="432">
        <v>-3462</v>
      </c>
      <c r="F22" s="432">
        <v>-3464</v>
      </c>
      <c r="G22" s="432">
        <v>-707</v>
      </c>
      <c r="H22" s="432">
        <v>1773</v>
      </c>
      <c r="I22" s="432">
        <v>515</v>
      </c>
      <c r="J22" s="432">
        <v>1764</v>
      </c>
      <c r="K22" s="432">
        <v>602</v>
      </c>
      <c r="L22" s="432">
        <v>22386</v>
      </c>
      <c r="M22" s="432">
        <v>26523</v>
      </c>
      <c r="N22" s="432">
        <v>-2398</v>
      </c>
      <c r="O22" s="432">
        <v>-2542</v>
      </c>
      <c r="P22" s="444"/>
      <c r="Q22" s="430">
        <v>-691</v>
      </c>
      <c r="R22" s="430">
        <v>2298</v>
      </c>
      <c r="S22" s="430">
        <v>525</v>
      </c>
      <c r="T22" s="430">
        <v>-927</v>
      </c>
      <c r="U22" s="432">
        <v>-2120</v>
      </c>
      <c r="V22" s="432">
        <v>-1795</v>
      </c>
      <c r="W22" s="432">
        <v>-1221</v>
      </c>
      <c r="X22" s="432">
        <v>-1172</v>
      </c>
      <c r="Y22" s="464">
        <v>-653</v>
      </c>
      <c r="Z22" s="430">
        <v>-2522</v>
      </c>
      <c r="AA22" s="430">
        <v>-5012</v>
      </c>
      <c r="AB22" s="465">
        <v>-8567</v>
      </c>
      <c r="AC22" s="430">
        <v>-653</v>
      </c>
      <c r="AD22" s="430">
        <f t="shared" si="0"/>
        <v>1869</v>
      </c>
      <c r="AE22" s="430">
        <v>-2522</v>
      </c>
      <c r="AF22" s="430">
        <v>2490</v>
      </c>
      <c r="AG22" s="430">
        <v>-5012</v>
      </c>
      <c r="AH22" s="430">
        <v>3555</v>
      </c>
      <c r="AI22" s="430">
        <v>-8567</v>
      </c>
      <c r="AJ22" s="432">
        <v>-1546</v>
      </c>
      <c r="AK22" s="432">
        <v>2632</v>
      </c>
      <c r="AL22" s="432">
        <v>-4178</v>
      </c>
      <c r="AM22" s="432">
        <v>-2742</v>
      </c>
      <c r="AN22" s="432">
        <v>-1436</v>
      </c>
      <c r="AO22" s="432">
        <f t="shared" si="1"/>
        <v>-2732</v>
      </c>
      <c r="AP22" s="432">
        <v>-1446</v>
      </c>
      <c r="AQ22" s="430">
        <v>1621</v>
      </c>
      <c r="AR22" s="430">
        <v>-371</v>
      </c>
      <c r="AS22" s="430">
        <v>1992</v>
      </c>
      <c r="AT22" s="430">
        <v>-418</v>
      </c>
      <c r="AU22" s="430">
        <v>2410</v>
      </c>
      <c r="AV22" s="430">
        <v>1961</v>
      </c>
      <c r="AW22" s="430">
        <v>449</v>
      </c>
      <c r="AX22" s="432"/>
      <c r="AY22" s="432"/>
      <c r="AZ22" s="432"/>
    </row>
    <row r="23" spans="1:52" s="400" customFormat="1">
      <c r="A23" s="461" t="s">
        <v>19</v>
      </c>
      <c r="B23" s="462" t="s">
        <v>318</v>
      </c>
      <c r="C23" s="463">
        <v>19754</v>
      </c>
      <c r="D23" s="432">
        <v>51988</v>
      </c>
      <c r="E23" s="432">
        <v>30969</v>
      </c>
      <c r="F23" s="432">
        <v>25683</v>
      </c>
      <c r="G23" s="432">
        <v>8470</v>
      </c>
      <c r="H23" s="432">
        <v>70672</v>
      </c>
      <c r="I23" s="432">
        <v>35291</v>
      </c>
      <c r="J23" s="432">
        <v>24128</v>
      </c>
      <c r="K23" s="432">
        <v>15759</v>
      </c>
      <c r="L23" s="432">
        <v>72082</v>
      </c>
      <c r="M23" s="432">
        <v>53935</v>
      </c>
      <c r="N23" s="432">
        <v>47203</v>
      </c>
      <c r="O23" s="432">
        <v>26928</v>
      </c>
      <c r="P23" s="444"/>
      <c r="Q23" s="430">
        <v>76815</v>
      </c>
      <c r="R23" s="430">
        <v>64325</v>
      </c>
      <c r="S23" s="430">
        <v>19121</v>
      </c>
      <c r="T23" s="430">
        <v>5596</v>
      </c>
      <c r="U23" s="432">
        <v>100733</v>
      </c>
      <c r="V23" s="432">
        <v>87826</v>
      </c>
      <c r="W23" s="432">
        <v>47648</v>
      </c>
      <c r="X23" s="432">
        <v>40583</v>
      </c>
      <c r="Y23" s="464">
        <v>141182</v>
      </c>
      <c r="Z23" s="430">
        <v>136059</v>
      </c>
      <c r="AA23" s="430">
        <v>96054</v>
      </c>
      <c r="AB23" s="465">
        <v>69327</v>
      </c>
      <c r="AC23" s="430">
        <v>141182</v>
      </c>
      <c r="AD23" s="430">
        <f t="shared" si="0"/>
        <v>5123</v>
      </c>
      <c r="AE23" s="430">
        <v>136059</v>
      </c>
      <c r="AF23" s="430">
        <v>40005</v>
      </c>
      <c r="AG23" s="430">
        <v>96054</v>
      </c>
      <c r="AH23" s="430">
        <v>26727</v>
      </c>
      <c r="AI23" s="430">
        <v>69327</v>
      </c>
      <c r="AJ23" s="432">
        <v>116600</v>
      </c>
      <c r="AK23" s="432">
        <v>6395</v>
      </c>
      <c r="AL23" s="432">
        <v>110205</v>
      </c>
      <c r="AM23" s="432">
        <v>59122</v>
      </c>
      <c r="AN23" s="432">
        <v>51083</v>
      </c>
      <c r="AO23" s="432">
        <f t="shared" si="1"/>
        <v>91090</v>
      </c>
      <c r="AP23" s="432">
        <v>19115</v>
      </c>
      <c r="AQ23" s="430">
        <v>91925</v>
      </c>
      <c r="AR23" s="430">
        <v>-60884</v>
      </c>
      <c r="AS23" s="430">
        <v>152809</v>
      </c>
      <c r="AT23" s="430">
        <v>4831</v>
      </c>
      <c r="AU23" s="430">
        <v>147978</v>
      </c>
      <c r="AV23" s="430">
        <v>4073</v>
      </c>
      <c r="AW23" s="430">
        <v>143905</v>
      </c>
      <c r="AX23" s="432"/>
      <c r="AY23" s="432"/>
      <c r="AZ23" s="432"/>
    </row>
    <row r="24" spans="1:52" s="400" customFormat="1">
      <c r="A24" s="461"/>
      <c r="B24" s="462" t="s">
        <v>319</v>
      </c>
      <c r="C24" s="463">
        <v>7609</v>
      </c>
      <c r="D24" s="432">
        <v>39940</v>
      </c>
      <c r="E24" s="432">
        <v>19876</v>
      </c>
      <c r="F24" s="432">
        <v>18999</v>
      </c>
      <c r="G24" s="432">
        <v>4889</v>
      </c>
      <c r="H24" s="432">
        <v>65218</v>
      </c>
      <c r="I24" s="432">
        <v>28882</v>
      </c>
      <c r="J24" s="432">
        <v>20169</v>
      </c>
      <c r="K24" s="432">
        <v>12967</v>
      </c>
      <c r="L24" s="432">
        <v>59078</v>
      </c>
      <c r="M24" s="432">
        <v>41353</v>
      </c>
      <c r="N24" s="432">
        <v>34538</v>
      </c>
      <c r="O24" s="432">
        <v>15299</v>
      </c>
      <c r="P24" s="444"/>
      <c r="Q24" s="430">
        <v>65728</v>
      </c>
      <c r="R24" s="430">
        <v>47383</v>
      </c>
      <c r="S24" s="430">
        <v>16117</v>
      </c>
      <c r="T24" s="430">
        <v>3632</v>
      </c>
      <c r="U24" s="432">
        <v>85712</v>
      </c>
      <c r="V24" s="432">
        <v>75465</v>
      </c>
      <c r="W24" s="432">
        <v>38415</v>
      </c>
      <c r="X24" s="432">
        <v>35867</v>
      </c>
      <c r="Y24" s="464">
        <v>130513</v>
      </c>
      <c r="Z24" s="430">
        <v>127262</v>
      </c>
      <c r="AA24" s="430">
        <v>90656</v>
      </c>
      <c r="AB24" s="465">
        <v>68468</v>
      </c>
      <c r="AC24" s="430">
        <v>130513</v>
      </c>
      <c r="AD24" s="430">
        <f t="shared" si="0"/>
        <v>3251</v>
      </c>
      <c r="AE24" s="430">
        <v>127262</v>
      </c>
      <c r="AF24" s="430">
        <v>36606</v>
      </c>
      <c r="AG24" s="430">
        <v>90656</v>
      </c>
      <c r="AH24" s="430">
        <v>22188</v>
      </c>
      <c r="AI24" s="430">
        <v>68468</v>
      </c>
      <c r="AJ24" s="432">
        <v>38710</v>
      </c>
      <c r="AK24" s="432">
        <v>-748</v>
      </c>
      <c r="AL24" s="432">
        <v>39458</v>
      </c>
      <c r="AM24" s="432">
        <v>13722</v>
      </c>
      <c r="AN24" s="432">
        <v>25736</v>
      </c>
      <c r="AO24" s="432">
        <f t="shared" si="1"/>
        <v>27078</v>
      </c>
      <c r="AP24" s="432">
        <v>12380</v>
      </c>
      <c r="AQ24" s="430">
        <v>-77645</v>
      </c>
      <c r="AR24" s="430">
        <v>-65730</v>
      </c>
      <c r="AS24" s="430">
        <v>-11915</v>
      </c>
      <c r="AT24" s="430">
        <v>-468</v>
      </c>
      <c r="AU24" s="430">
        <v>-11447</v>
      </c>
      <c r="AV24" s="430">
        <v>-8780</v>
      </c>
      <c r="AW24" s="430">
        <v>-2667</v>
      </c>
      <c r="AX24" s="432"/>
      <c r="AY24" s="432"/>
      <c r="AZ24" s="432"/>
    </row>
    <row r="25" spans="1:52" s="400" customFormat="1" ht="12.75" customHeight="1">
      <c r="A25" s="461"/>
      <c r="B25" s="462" t="s">
        <v>326</v>
      </c>
      <c r="C25" s="463">
        <v>12143</v>
      </c>
      <c r="D25" s="432">
        <v>10984</v>
      </c>
      <c r="E25" s="432">
        <v>10030</v>
      </c>
      <c r="F25" s="432">
        <v>5621</v>
      </c>
      <c r="G25" s="432">
        <v>2548</v>
      </c>
      <c r="H25" s="432">
        <v>5437</v>
      </c>
      <c r="I25" s="432">
        <v>6395</v>
      </c>
      <c r="J25" s="432">
        <v>3925</v>
      </c>
      <c r="K25" s="432">
        <v>2790</v>
      </c>
      <c r="L25" s="432">
        <v>13001</v>
      </c>
      <c r="M25" s="432">
        <v>12580</v>
      </c>
      <c r="N25" s="432">
        <v>12664</v>
      </c>
      <c r="O25" s="432">
        <v>11629</v>
      </c>
      <c r="P25" s="444"/>
      <c r="Q25" s="430">
        <v>4254</v>
      </c>
      <c r="R25" s="430">
        <v>3965</v>
      </c>
      <c r="S25" s="430">
        <v>2761</v>
      </c>
      <c r="T25" s="430">
        <v>1764</v>
      </c>
      <c r="U25" s="432">
        <v>15488</v>
      </c>
      <c r="V25" s="432">
        <v>12817</v>
      </c>
      <c r="W25" s="432">
        <v>9676</v>
      </c>
      <c r="X25" s="432">
        <v>5108</v>
      </c>
      <c r="Y25" s="464">
        <v>10356</v>
      </c>
      <c r="Z25" s="430">
        <v>8348</v>
      </c>
      <c r="AA25" s="430">
        <v>4542</v>
      </c>
      <c r="AB25" s="465">
        <v>715</v>
      </c>
      <c r="AC25" s="430">
        <v>10356</v>
      </c>
      <c r="AD25" s="430">
        <f t="shared" si="0"/>
        <v>2008</v>
      </c>
      <c r="AE25" s="430">
        <v>8348</v>
      </c>
      <c r="AF25" s="430">
        <v>3806</v>
      </c>
      <c r="AG25" s="430">
        <v>4542</v>
      </c>
      <c r="AH25" s="430">
        <v>3827</v>
      </c>
      <c r="AI25" s="430">
        <v>715</v>
      </c>
      <c r="AJ25" s="432">
        <v>77664</v>
      </c>
      <c r="AK25" s="432">
        <v>7353</v>
      </c>
      <c r="AL25" s="432">
        <v>70311</v>
      </c>
      <c r="AM25" s="432">
        <v>45331</v>
      </c>
      <c r="AN25" s="432">
        <v>24980</v>
      </c>
      <c r="AO25" s="432">
        <f t="shared" si="1"/>
        <v>63789</v>
      </c>
      <c r="AP25" s="432">
        <v>6522</v>
      </c>
      <c r="AQ25" s="430">
        <v>168662</v>
      </c>
      <c r="AR25" s="430">
        <v>4210</v>
      </c>
      <c r="AS25" s="430">
        <v>164452</v>
      </c>
      <c r="AT25" s="430">
        <v>5197</v>
      </c>
      <c r="AU25" s="430">
        <v>159255</v>
      </c>
      <c r="AV25" s="430">
        <v>12787</v>
      </c>
      <c r="AW25" s="430">
        <v>146468</v>
      </c>
      <c r="AX25" s="432"/>
      <c r="AY25" s="432"/>
      <c r="AZ25" s="432"/>
    </row>
    <row r="26" spans="1:52" s="400" customFormat="1">
      <c r="A26" s="461"/>
      <c r="B26" s="462" t="s">
        <v>320</v>
      </c>
      <c r="C26" s="463">
        <v>2</v>
      </c>
      <c r="D26" s="432">
        <v>1064</v>
      </c>
      <c r="E26" s="432">
        <v>1063</v>
      </c>
      <c r="F26" s="432">
        <v>1063</v>
      </c>
      <c r="G26" s="432">
        <v>1033</v>
      </c>
      <c r="H26" s="432">
        <v>17</v>
      </c>
      <c r="I26" s="432">
        <v>14</v>
      </c>
      <c r="J26" s="432">
        <v>34</v>
      </c>
      <c r="K26" s="432">
        <v>2</v>
      </c>
      <c r="L26" s="432">
        <v>3</v>
      </c>
      <c r="M26" s="432">
        <v>2</v>
      </c>
      <c r="N26" s="432">
        <v>1</v>
      </c>
      <c r="O26" s="432">
        <v>0</v>
      </c>
      <c r="P26" s="444"/>
      <c r="Q26" s="430">
        <v>6833</v>
      </c>
      <c r="R26" s="430">
        <v>12977</v>
      </c>
      <c r="S26" s="430">
        <v>243</v>
      </c>
      <c r="T26" s="430">
        <v>200</v>
      </c>
      <c r="U26" s="432">
        <v>-467</v>
      </c>
      <c r="V26" s="432">
        <v>-456</v>
      </c>
      <c r="W26" s="432">
        <v>-443</v>
      </c>
      <c r="X26" s="432">
        <v>-392</v>
      </c>
      <c r="Y26" s="464">
        <v>313</v>
      </c>
      <c r="Z26" s="430">
        <v>449</v>
      </c>
      <c r="AA26" s="430">
        <v>856</v>
      </c>
      <c r="AB26" s="465">
        <v>144</v>
      </c>
      <c r="AC26" s="430">
        <v>313</v>
      </c>
      <c r="AD26" s="430">
        <f t="shared" si="0"/>
        <v>-136</v>
      </c>
      <c r="AE26" s="430">
        <v>449</v>
      </c>
      <c r="AF26" s="430">
        <v>-407</v>
      </c>
      <c r="AG26" s="430">
        <v>856</v>
      </c>
      <c r="AH26" s="430">
        <v>712</v>
      </c>
      <c r="AI26" s="430">
        <v>144</v>
      </c>
      <c r="AJ26" s="432">
        <v>226</v>
      </c>
      <c r="AK26" s="432">
        <v>-210</v>
      </c>
      <c r="AL26" s="432">
        <v>436</v>
      </c>
      <c r="AM26" s="432">
        <v>69</v>
      </c>
      <c r="AN26" s="432">
        <v>367</v>
      </c>
      <c r="AO26" s="432">
        <f t="shared" si="1"/>
        <v>223</v>
      </c>
      <c r="AP26" s="432">
        <v>213</v>
      </c>
      <c r="AQ26" s="430">
        <v>908</v>
      </c>
      <c r="AR26" s="430">
        <v>636</v>
      </c>
      <c r="AS26" s="430">
        <v>272</v>
      </c>
      <c r="AT26" s="430">
        <v>102</v>
      </c>
      <c r="AU26" s="430">
        <v>170</v>
      </c>
      <c r="AV26" s="430">
        <v>66</v>
      </c>
      <c r="AW26" s="430">
        <v>104</v>
      </c>
      <c r="AX26" s="432"/>
      <c r="AY26" s="432"/>
      <c r="AZ26" s="432"/>
    </row>
    <row r="27" spans="1:52" s="400" customFormat="1">
      <c r="A27" s="461" t="s">
        <v>44</v>
      </c>
      <c r="B27" s="474" t="s">
        <v>321</v>
      </c>
      <c r="C27" s="463">
        <v>14734</v>
      </c>
      <c r="D27" s="432">
        <v>-176383</v>
      </c>
      <c r="E27" s="432">
        <v>-136921</v>
      </c>
      <c r="F27" s="432">
        <v>-110157</v>
      </c>
      <c r="G27" s="432">
        <v>-56834</v>
      </c>
      <c r="H27" s="432">
        <v>-136110</v>
      </c>
      <c r="I27" s="432">
        <v>-112466</v>
      </c>
      <c r="J27" s="432">
        <v>-6950</v>
      </c>
      <c r="K27" s="432">
        <v>-13852</v>
      </c>
      <c r="L27" s="432">
        <v>-122678</v>
      </c>
      <c r="M27" s="432">
        <v>-10239</v>
      </c>
      <c r="N27" s="432">
        <v>-20474</v>
      </c>
      <c r="O27" s="432">
        <v>-10536</v>
      </c>
      <c r="P27" s="444"/>
      <c r="Q27" s="430">
        <v>5632</v>
      </c>
      <c r="R27" s="430">
        <v>19656</v>
      </c>
      <c r="S27" s="430">
        <v>20644</v>
      </c>
      <c r="T27" s="430">
        <v>19457</v>
      </c>
      <c r="U27" s="432">
        <v>30127</v>
      </c>
      <c r="V27" s="432">
        <v>39501</v>
      </c>
      <c r="W27" s="432">
        <v>35334</v>
      </c>
      <c r="X27" s="432">
        <v>8733</v>
      </c>
      <c r="Y27" s="464">
        <v>11856</v>
      </c>
      <c r="Z27" s="430">
        <v>-22152</v>
      </c>
      <c r="AA27" s="430">
        <v>-22183</v>
      </c>
      <c r="AB27" s="465">
        <v>-33831</v>
      </c>
      <c r="AC27" s="430">
        <v>11856</v>
      </c>
      <c r="AD27" s="430">
        <f t="shared" si="0"/>
        <v>34008</v>
      </c>
      <c r="AE27" s="430">
        <v>-22152</v>
      </c>
      <c r="AF27" s="430">
        <v>31</v>
      </c>
      <c r="AG27" s="430">
        <v>-22183</v>
      </c>
      <c r="AH27" s="430">
        <v>11648</v>
      </c>
      <c r="AI27" s="430">
        <v>-33831</v>
      </c>
      <c r="AJ27" s="432">
        <v>-1241</v>
      </c>
      <c r="AK27" s="432">
        <v>4046</v>
      </c>
      <c r="AL27" s="432">
        <v>-5287</v>
      </c>
      <c r="AM27" s="432">
        <v>-1101</v>
      </c>
      <c r="AN27" s="432">
        <v>-4186</v>
      </c>
      <c r="AO27" s="432">
        <f t="shared" si="1"/>
        <v>-5928</v>
      </c>
      <c r="AP27" s="432">
        <v>641</v>
      </c>
      <c r="AQ27" s="430">
        <v>8664</v>
      </c>
      <c r="AR27" s="430">
        <v>-2262</v>
      </c>
      <c r="AS27" s="430">
        <v>10926</v>
      </c>
      <c r="AT27" s="430">
        <v>7731</v>
      </c>
      <c r="AU27" s="430">
        <v>3195</v>
      </c>
      <c r="AV27" s="430">
        <v>-6931</v>
      </c>
      <c r="AW27" s="430">
        <v>10126</v>
      </c>
      <c r="AX27" s="432"/>
      <c r="AY27" s="432"/>
      <c r="AZ27" s="432"/>
    </row>
    <row r="28" spans="1:52" s="400" customFormat="1">
      <c r="A28" s="461"/>
      <c r="B28" s="462" t="s">
        <v>322</v>
      </c>
      <c r="C28" s="463">
        <v>20112</v>
      </c>
      <c r="D28" s="432">
        <v>-200245</v>
      </c>
      <c r="E28" s="432">
        <v>-155833</v>
      </c>
      <c r="F28" s="432">
        <v>-123518</v>
      </c>
      <c r="G28" s="432">
        <v>-70840</v>
      </c>
      <c r="H28" s="432">
        <v>-137023</v>
      </c>
      <c r="I28" s="432">
        <v>-125063</v>
      </c>
      <c r="J28" s="432">
        <v>-15598</v>
      </c>
      <c r="K28" s="432">
        <v>-22343</v>
      </c>
      <c r="L28" s="432">
        <v>-140363</v>
      </c>
      <c r="M28" s="432">
        <v>-28284</v>
      </c>
      <c r="N28" s="432">
        <v>-33298</v>
      </c>
      <c r="O28" s="432">
        <v>-29276</v>
      </c>
      <c r="P28" s="444"/>
      <c r="Q28" s="430">
        <v>66978</v>
      </c>
      <c r="R28" s="430">
        <v>73252</v>
      </c>
      <c r="S28" s="430">
        <v>57144</v>
      </c>
      <c r="T28" s="430">
        <v>29965</v>
      </c>
      <c r="U28" s="432">
        <v>1576</v>
      </c>
      <c r="V28" s="432">
        <v>1298</v>
      </c>
      <c r="W28" s="432">
        <v>771</v>
      </c>
      <c r="X28" s="432">
        <v>459</v>
      </c>
      <c r="Y28" s="464">
        <v>-3683</v>
      </c>
      <c r="Z28" s="430">
        <v>-4166</v>
      </c>
      <c r="AA28" s="430">
        <v>-3866</v>
      </c>
      <c r="AB28" s="465">
        <v>-4673</v>
      </c>
      <c r="AC28" s="430">
        <v>-3683</v>
      </c>
      <c r="AD28" s="430">
        <f t="shared" si="0"/>
        <v>483</v>
      </c>
      <c r="AE28" s="430">
        <v>-4166</v>
      </c>
      <c r="AF28" s="430">
        <v>-300</v>
      </c>
      <c r="AG28" s="430">
        <v>-3866</v>
      </c>
      <c r="AH28" s="430">
        <v>807</v>
      </c>
      <c r="AI28" s="430">
        <v>-4673</v>
      </c>
      <c r="AJ28" s="432">
        <v>-8436</v>
      </c>
      <c r="AK28" s="432">
        <v>-1471</v>
      </c>
      <c r="AL28" s="432">
        <v>-6965</v>
      </c>
      <c r="AM28" s="432">
        <v>-8567</v>
      </c>
      <c r="AN28" s="432">
        <v>1602</v>
      </c>
      <c r="AO28" s="432">
        <f t="shared" si="1"/>
        <v>-7538</v>
      </c>
      <c r="AP28" s="432">
        <v>573</v>
      </c>
      <c r="AQ28" s="430">
        <v>-4378</v>
      </c>
      <c r="AR28" s="430">
        <v>632</v>
      </c>
      <c r="AS28" s="430">
        <v>-5010</v>
      </c>
      <c r="AT28" s="430">
        <v>-2067</v>
      </c>
      <c r="AU28" s="430">
        <v>-2943</v>
      </c>
      <c r="AV28" s="430">
        <v>-4152</v>
      </c>
      <c r="AW28" s="430">
        <v>1209</v>
      </c>
      <c r="AX28" s="432"/>
      <c r="AY28" s="432"/>
      <c r="AZ28" s="432"/>
    </row>
    <row r="29" spans="1:52" s="400" customFormat="1">
      <c r="A29" s="461"/>
      <c r="B29" s="462" t="s">
        <v>323</v>
      </c>
      <c r="C29" s="463">
        <v>-5378</v>
      </c>
      <c r="D29" s="432">
        <v>23862</v>
      </c>
      <c r="E29" s="432">
        <v>18912</v>
      </c>
      <c r="F29" s="432">
        <v>13361</v>
      </c>
      <c r="G29" s="432">
        <v>14006</v>
      </c>
      <c r="H29" s="432">
        <v>913</v>
      </c>
      <c r="I29" s="432">
        <v>12597</v>
      </c>
      <c r="J29" s="432">
        <v>8648</v>
      </c>
      <c r="K29" s="432">
        <v>8491</v>
      </c>
      <c r="L29" s="432">
        <v>17685</v>
      </c>
      <c r="M29" s="432">
        <v>18045</v>
      </c>
      <c r="N29" s="432">
        <v>12824</v>
      </c>
      <c r="O29" s="432">
        <v>18740</v>
      </c>
      <c r="P29" s="444"/>
      <c r="Q29" s="430">
        <v>-61346</v>
      </c>
      <c r="R29" s="430">
        <v>-53596</v>
      </c>
      <c r="S29" s="430">
        <v>-36500</v>
      </c>
      <c r="T29" s="430">
        <v>-10508</v>
      </c>
      <c r="U29" s="432">
        <v>28551</v>
      </c>
      <c r="V29" s="432">
        <v>38203</v>
      </c>
      <c r="W29" s="432">
        <v>34563</v>
      </c>
      <c r="X29" s="432">
        <v>8274</v>
      </c>
      <c r="Y29" s="464">
        <v>15539</v>
      </c>
      <c r="Z29" s="430">
        <v>-17986</v>
      </c>
      <c r="AA29" s="430">
        <v>-18317</v>
      </c>
      <c r="AB29" s="465">
        <v>-29158</v>
      </c>
      <c r="AC29" s="430">
        <v>15539</v>
      </c>
      <c r="AD29" s="430">
        <f t="shared" si="0"/>
        <v>33525</v>
      </c>
      <c r="AE29" s="430">
        <v>-17986</v>
      </c>
      <c r="AF29" s="430">
        <v>331</v>
      </c>
      <c r="AG29" s="430">
        <v>-18317</v>
      </c>
      <c r="AH29" s="430">
        <v>10841</v>
      </c>
      <c r="AI29" s="430">
        <v>-29158</v>
      </c>
      <c r="AJ29" s="432">
        <v>7195</v>
      </c>
      <c r="AK29" s="432">
        <v>5517</v>
      </c>
      <c r="AL29" s="432">
        <v>1678</v>
      </c>
      <c r="AM29" s="432">
        <v>7466</v>
      </c>
      <c r="AN29" s="432">
        <v>-5788</v>
      </c>
      <c r="AO29" s="432">
        <f t="shared" si="1"/>
        <v>1610</v>
      </c>
      <c r="AP29" s="432">
        <v>68</v>
      </c>
      <c r="AQ29" s="430">
        <v>13042</v>
      </c>
      <c r="AR29" s="430">
        <v>-2894</v>
      </c>
      <c r="AS29" s="430">
        <v>15936</v>
      </c>
      <c r="AT29" s="430">
        <v>9798</v>
      </c>
      <c r="AU29" s="430">
        <v>6138</v>
      </c>
      <c r="AV29" s="430">
        <v>-2779</v>
      </c>
      <c r="AW29" s="430">
        <v>8917</v>
      </c>
      <c r="AX29" s="432"/>
      <c r="AY29" s="432"/>
      <c r="AZ29" s="432"/>
    </row>
    <row r="30" spans="1:52" s="400" customFormat="1">
      <c r="A30" s="466" t="s">
        <v>21</v>
      </c>
      <c r="B30" s="467" t="s">
        <v>80</v>
      </c>
      <c r="C30" s="468">
        <v>1718566</v>
      </c>
      <c r="D30" s="469">
        <v>6405381</v>
      </c>
      <c r="E30" s="469">
        <v>4548776</v>
      </c>
      <c r="F30" s="469">
        <v>2767471</v>
      </c>
      <c r="G30" s="469">
        <v>1375071</v>
      </c>
      <c r="H30" s="469">
        <v>5490631</v>
      </c>
      <c r="I30" s="469">
        <v>4069748</v>
      </c>
      <c r="J30" s="469">
        <v>2744596</v>
      </c>
      <c r="K30" s="469">
        <v>1361193</v>
      </c>
      <c r="L30" s="469">
        <v>5352029</v>
      </c>
      <c r="M30" s="469">
        <v>3959145</v>
      </c>
      <c r="N30" s="469">
        <v>2599910</v>
      </c>
      <c r="O30" s="469">
        <v>1275340</v>
      </c>
      <c r="P30" s="444"/>
      <c r="Q30" s="470">
        <v>3929819</v>
      </c>
      <c r="R30" s="470">
        <v>2814383</v>
      </c>
      <c r="S30" s="470">
        <v>1799697</v>
      </c>
      <c r="T30" s="470">
        <v>886213</v>
      </c>
      <c r="U30" s="469">
        <v>3363252</v>
      </c>
      <c r="V30" s="469">
        <v>2479062</v>
      </c>
      <c r="W30" s="469">
        <v>1595939</v>
      </c>
      <c r="X30" s="469">
        <v>749564</v>
      </c>
      <c r="Y30" s="471">
        <v>2468047</v>
      </c>
      <c r="Z30" s="470">
        <v>1831549</v>
      </c>
      <c r="AA30" s="470">
        <v>1196265</v>
      </c>
      <c r="AB30" s="472">
        <v>582017</v>
      </c>
      <c r="AC30" s="470">
        <v>2468047</v>
      </c>
      <c r="AD30" s="470">
        <f t="shared" si="0"/>
        <v>636498</v>
      </c>
      <c r="AE30" s="470">
        <v>1831549</v>
      </c>
      <c r="AF30" s="470">
        <v>635284</v>
      </c>
      <c r="AG30" s="470">
        <v>1196265</v>
      </c>
      <c r="AH30" s="470">
        <v>614248</v>
      </c>
      <c r="AI30" s="470">
        <v>582017</v>
      </c>
      <c r="AJ30" s="469">
        <v>2224583</v>
      </c>
      <c r="AK30" s="469">
        <v>615584</v>
      </c>
      <c r="AL30" s="469">
        <v>1608999</v>
      </c>
      <c r="AM30" s="469">
        <v>637370</v>
      </c>
      <c r="AN30" s="469">
        <v>971629</v>
      </c>
      <c r="AO30" s="469">
        <f t="shared" si="1"/>
        <v>1119958</v>
      </c>
      <c r="AP30" s="469">
        <v>489041</v>
      </c>
      <c r="AQ30" s="470">
        <v>2037063</v>
      </c>
      <c r="AR30" s="470">
        <v>405160</v>
      </c>
      <c r="AS30" s="470">
        <v>1631903</v>
      </c>
      <c r="AT30" s="470">
        <v>485819</v>
      </c>
      <c r="AU30" s="470">
        <v>1146084</v>
      </c>
      <c r="AV30" s="470">
        <v>500512</v>
      </c>
      <c r="AW30" s="470">
        <v>645572</v>
      </c>
      <c r="AX30" s="432"/>
      <c r="AY30" s="432"/>
      <c r="AZ30" s="432"/>
    </row>
    <row r="31" spans="1:52" s="400" customFormat="1">
      <c r="A31" s="461" t="s">
        <v>23</v>
      </c>
      <c r="B31" s="462" t="s">
        <v>324</v>
      </c>
      <c r="C31" s="475">
        <v>-74460</v>
      </c>
      <c r="D31" s="432">
        <v>-465225</v>
      </c>
      <c r="E31" s="432">
        <v>-233927</v>
      </c>
      <c r="F31" s="432">
        <v>-140167</v>
      </c>
      <c r="G31" s="432">
        <v>-68294</v>
      </c>
      <c r="H31" s="432">
        <v>-331967</v>
      </c>
      <c r="I31" s="432">
        <v>-253193</v>
      </c>
      <c r="J31" s="432">
        <v>-174491</v>
      </c>
      <c r="K31" s="432">
        <v>-93272</v>
      </c>
      <c r="L31" s="432">
        <v>-436318</v>
      </c>
      <c r="M31" s="432">
        <v>-365000</v>
      </c>
      <c r="N31" s="432">
        <v>-268832</v>
      </c>
      <c r="O31" s="432">
        <v>-142442</v>
      </c>
      <c r="P31" s="444"/>
      <c r="Q31" s="430">
        <v>-606501</v>
      </c>
      <c r="R31" s="430">
        <v>-334845</v>
      </c>
      <c r="S31" s="430">
        <v>-215863</v>
      </c>
      <c r="T31" s="430">
        <v>-111941</v>
      </c>
      <c r="U31" s="432">
        <v>-835079</v>
      </c>
      <c r="V31" s="432">
        <v>-713036</v>
      </c>
      <c r="W31" s="432">
        <v>-574609</v>
      </c>
      <c r="X31" s="432">
        <v>-418231</v>
      </c>
      <c r="Y31" s="464">
        <v>-542239</v>
      </c>
      <c r="Z31" s="430">
        <v>-405687</v>
      </c>
      <c r="AA31" s="430">
        <v>-298180</v>
      </c>
      <c r="AB31" s="465">
        <v>-139448</v>
      </c>
      <c r="AC31" s="430">
        <v>-542239</v>
      </c>
      <c r="AD31" s="430">
        <f t="shared" si="0"/>
        <v>-136552</v>
      </c>
      <c r="AE31" s="430">
        <v>-405687</v>
      </c>
      <c r="AF31" s="430">
        <v>-107507</v>
      </c>
      <c r="AG31" s="430">
        <v>-298180</v>
      </c>
      <c r="AH31" s="430">
        <v>-158732</v>
      </c>
      <c r="AI31" s="430">
        <v>-139448</v>
      </c>
      <c r="AJ31" s="432">
        <v>-446291</v>
      </c>
      <c r="AK31" s="432">
        <v>-138852</v>
      </c>
      <c r="AL31" s="432">
        <v>-307439</v>
      </c>
      <c r="AM31" s="432">
        <v>-160432</v>
      </c>
      <c r="AN31" s="432">
        <v>-147007</v>
      </c>
      <c r="AO31" s="432">
        <f t="shared" si="1"/>
        <v>-235375</v>
      </c>
      <c r="AP31" s="432">
        <v>-72064</v>
      </c>
      <c r="AQ31" s="430">
        <v>-223706</v>
      </c>
      <c r="AR31" s="430">
        <v>-70554</v>
      </c>
      <c r="AS31" s="430">
        <v>-153152</v>
      </c>
      <c r="AT31" s="430">
        <v>-70122</v>
      </c>
      <c r="AU31" s="430">
        <v>-83030</v>
      </c>
      <c r="AV31" s="430">
        <v>-58652</v>
      </c>
      <c r="AW31" s="430">
        <v>-24378</v>
      </c>
      <c r="AX31" s="432"/>
      <c r="AY31" s="432"/>
      <c r="AZ31" s="432"/>
    </row>
    <row r="32" spans="1:52" s="400" customFormat="1" ht="12.75" customHeight="1">
      <c r="A32" s="461"/>
      <c r="B32" s="476" t="s">
        <v>325</v>
      </c>
      <c r="C32" s="463">
        <v>-74756</v>
      </c>
      <c r="D32" s="432">
        <v>-465379</v>
      </c>
      <c r="E32" s="432">
        <v>-234210</v>
      </c>
      <c r="F32" s="432">
        <v>-140552</v>
      </c>
      <c r="G32" s="432">
        <v>-68119</v>
      </c>
      <c r="H32" s="432">
        <v>-331758</v>
      </c>
      <c r="I32" s="432">
        <v>-252825</v>
      </c>
      <c r="J32" s="432">
        <v>-174447</v>
      </c>
      <c r="K32" s="432">
        <v>-92223</v>
      </c>
      <c r="L32" s="432">
        <v>-436261</v>
      </c>
      <c r="M32" s="432">
        <v>-364681</v>
      </c>
      <c r="N32" s="432">
        <v>-269330</v>
      </c>
      <c r="O32" s="432">
        <v>-142411</v>
      </c>
      <c r="P32" s="444"/>
      <c r="Q32" s="430">
        <v>-606059</v>
      </c>
      <c r="R32" s="430">
        <v>-334599</v>
      </c>
      <c r="S32" s="430">
        <v>-215617</v>
      </c>
      <c r="T32" s="430">
        <v>-111925</v>
      </c>
      <c r="U32" s="432">
        <v>-837194</v>
      </c>
      <c r="V32" s="432">
        <v>-714497</v>
      </c>
      <c r="W32" s="432">
        <v>-576295</v>
      </c>
      <c r="X32" s="432">
        <v>-419004</v>
      </c>
      <c r="Y32" s="464">
        <v>-541877</v>
      </c>
      <c r="Z32" s="430">
        <v>-405192</v>
      </c>
      <c r="AA32" s="430">
        <v>-297322</v>
      </c>
      <c r="AB32" s="465">
        <v>-139553</v>
      </c>
      <c r="AC32" s="430">
        <v>-541877</v>
      </c>
      <c r="AD32" s="430">
        <f t="shared" si="0"/>
        <v>-136685</v>
      </c>
      <c r="AE32" s="430">
        <v>-405192</v>
      </c>
      <c r="AF32" s="430">
        <v>-107870</v>
      </c>
      <c r="AG32" s="430">
        <v>-297322</v>
      </c>
      <c r="AH32" s="430">
        <v>-157769</v>
      </c>
      <c r="AI32" s="430">
        <v>-139553</v>
      </c>
      <c r="AJ32" s="432">
        <v>-447547</v>
      </c>
      <c r="AK32" s="432">
        <v>-139526</v>
      </c>
      <c r="AL32" s="432">
        <v>-308021</v>
      </c>
      <c r="AM32" s="432">
        <v>-160985</v>
      </c>
      <c r="AN32" s="432">
        <v>-147036</v>
      </c>
      <c r="AO32" s="432">
        <f t="shared" si="1"/>
        <v>-235536</v>
      </c>
      <c r="AP32" s="432">
        <v>-72485</v>
      </c>
      <c r="AQ32" s="430">
        <v>-225772</v>
      </c>
      <c r="AR32" s="430">
        <v>-70566</v>
      </c>
      <c r="AS32" s="430">
        <v>-155206</v>
      </c>
      <c r="AT32" s="430">
        <v>-70272</v>
      </c>
      <c r="AU32" s="430">
        <v>-84934</v>
      </c>
      <c r="AV32" s="430">
        <v>-58793</v>
      </c>
      <c r="AW32" s="430">
        <v>-26141</v>
      </c>
      <c r="AX32" s="432"/>
      <c r="AY32" s="432"/>
      <c r="AZ32" s="432"/>
    </row>
    <row r="33" spans="1:52" s="400" customFormat="1">
      <c r="A33" s="461"/>
      <c r="B33" s="476" t="s">
        <v>326</v>
      </c>
      <c r="C33" s="463">
        <v>296</v>
      </c>
      <c r="D33" s="432">
        <v>154</v>
      </c>
      <c r="E33" s="432">
        <v>283</v>
      </c>
      <c r="F33" s="432">
        <v>385</v>
      </c>
      <c r="G33" s="432">
        <v>-175</v>
      </c>
      <c r="H33" s="432">
        <v>-209</v>
      </c>
      <c r="I33" s="432">
        <v>-368</v>
      </c>
      <c r="J33" s="432">
        <v>-44</v>
      </c>
      <c r="K33" s="432">
        <v>-1049</v>
      </c>
      <c r="L33" s="432">
        <v>-57</v>
      </c>
      <c r="M33" s="432">
        <v>-319</v>
      </c>
      <c r="N33" s="432">
        <v>498</v>
      </c>
      <c r="O33" s="432">
        <v>-31</v>
      </c>
      <c r="P33" s="444"/>
      <c r="Q33" s="430">
        <v>-442</v>
      </c>
      <c r="R33" s="430">
        <v>-246</v>
      </c>
      <c r="S33" s="430">
        <v>-246</v>
      </c>
      <c r="T33" s="430">
        <v>-16</v>
      </c>
      <c r="U33" s="432">
        <v>2115</v>
      </c>
      <c r="V33" s="432">
        <v>1461</v>
      </c>
      <c r="W33" s="432">
        <v>1686</v>
      </c>
      <c r="X33" s="432">
        <v>773</v>
      </c>
      <c r="Y33" s="464">
        <v>-362</v>
      </c>
      <c r="Z33" s="430">
        <v>-495</v>
      </c>
      <c r="AA33" s="430">
        <v>-858</v>
      </c>
      <c r="AB33" s="465">
        <v>105</v>
      </c>
      <c r="AC33" s="430">
        <v>-362</v>
      </c>
      <c r="AD33" s="430">
        <f t="shared" si="0"/>
        <v>133</v>
      </c>
      <c r="AE33" s="430">
        <v>-495</v>
      </c>
      <c r="AF33" s="430">
        <v>363</v>
      </c>
      <c r="AG33" s="430">
        <v>-858</v>
      </c>
      <c r="AH33" s="430">
        <v>-963</v>
      </c>
      <c r="AI33" s="430">
        <v>105</v>
      </c>
      <c r="AJ33" s="432">
        <v>1256</v>
      </c>
      <c r="AK33" s="432">
        <v>674</v>
      </c>
      <c r="AL33" s="432">
        <v>582</v>
      </c>
      <c r="AM33" s="432">
        <v>553</v>
      </c>
      <c r="AN33" s="432">
        <v>29</v>
      </c>
      <c r="AO33" s="432">
        <f t="shared" si="1"/>
        <v>161</v>
      </c>
      <c r="AP33" s="432">
        <v>421</v>
      </c>
      <c r="AQ33" s="430">
        <v>2066</v>
      </c>
      <c r="AR33" s="430">
        <v>12</v>
      </c>
      <c r="AS33" s="430">
        <v>2054</v>
      </c>
      <c r="AT33" s="430">
        <v>150</v>
      </c>
      <c r="AU33" s="430">
        <v>1904</v>
      </c>
      <c r="AV33" s="430">
        <v>141</v>
      </c>
      <c r="AW33" s="430">
        <v>1763</v>
      </c>
      <c r="AX33" s="432"/>
      <c r="AY33" s="432"/>
      <c r="AZ33" s="432"/>
    </row>
    <row r="34" spans="1:52" s="400" customFormat="1">
      <c r="A34" s="461" t="s">
        <v>25</v>
      </c>
      <c r="B34" s="462" t="s">
        <v>327</v>
      </c>
      <c r="C34" s="463">
        <v>-531</v>
      </c>
      <c r="D34" s="432">
        <v>-1524</v>
      </c>
      <c r="E34" s="432">
        <v>-3055</v>
      </c>
      <c r="F34" s="432">
        <v>-2513</v>
      </c>
      <c r="G34" s="432">
        <v>-2667</v>
      </c>
      <c r="H34" s="432">
        <v>-1321</v>
      </c>
      <c r="I34" s="432">
        <v>-1052</v>
      </c>
      <c r="J34" s="432">
        <v>-655</v>
      </c>
      <c r="K34" s="432">
        <v>-184</v>
      </c>
      <c r="L34" s="432">
        <v>3006</v>
      </c>
      <c r="M34" s="432">
        <v>3320</v>
      </c>
      <c r="N34" s="432">
        <v>2896</v>
      </c>
      <c r="O34" s="432">
        <v>1905</v>
      </c>
      <c r="P34" s="444"/>
      <c r="Q34" s="430">
        <v>-139</v>
      </c>
      <c r="R34" s="430">
        <v>-625</v>
      </c>
      <c r="S34" s="430">
        <v>-1198</v>
      </c>
      <c r="T34" s="430">
        <v>-1225</v>
      </c>
      <c r="U34" s="432">
        <v>-2893</v>
      </c>
      <c r="V34" s="432">
        <v>-2165</v>
      </c>
      <c r="W34" s="432">
        <v>-1779</v>
      </c>
      <c r="X34" s="432">
        <v>-602</v>
      </c>
      <c r="Y34" s="464">
        <v>-2141</v>
      </c>
      <c r="Z34" s="430">
        <v>-624</v>
      </c>
      <c r="AA34" s="430">
        <v>-442</v>
      </c>
      <c r="AB34" s="465">
        <v>-195</v>
      </c>
      <c r="AC34" s="430">
        <v>-2141</v>
      </c>
      <c r="AD34" s="430">
        <f t="shared" si="0"/>
        <v>-1517</v>
      </c>
      <c r="AE34" s="430">
        <v>-624</v>
      </c>
      <c r="AF34" s="430">
        <v>-182</v>
      </c>
      <c r="AG34" s="430">
        <v>-442</v>
      </c>
      <c r="AH34" s="430">
        <v>-247</v>
      </c>
      <c r="AI34" s="430">
        <v>-195</v>
      </c>
      <c r="AJ34" s="432">
        <v>-2979</v>
      </c>
      <c r="AK34" s="432">
        <v>-1361</v>
      </c>
      <c r="AL34" s="432">
        <v>-1618</v>
      </c>
      <c r="AM34" s="432">
        <v>-651</v>
      </c>
      <c r="AN34" s="432">
        <v>-967</v>
      </c>
      <c r="AO34" s="432">
        <f t="shared" si="1"/>
        <v>-727</v>
      </c>
      <c r="AP34" s="432">
        <v>-891</v>
      </c>
      <c r="AQ34" s="430">
        <v>-2956</v>
      </c>
      <c r="AR34" s="430">
        <v>-237</v>
      </c>
      <c r="AS34" s="430">
        <v>-2719</v>
      </c>
      <c r="AT34" s="430">
        <v>-1536</v>
      </c>
      <c r="AU34" s="430">
        <v>-1183</v>
      </c>
      <c r="AV34" s="430">
        <v>-1183</v>
      </c>
      <c r="AW34" s="430">
        <v>0</v>
      </c>
      <c r="AX34" s="432"/>
      <c r="AY34" s="432"/>
      <c r="AZ34" s="432"/>
    </row>
    <row r="35" spans="1:52" s="400" customFormat="1" ht="11.25" hidden="1" customHeight="1">
      <c r="A35" s="466" t="s">
        <v>29</v>
      </c>
      <c r="B35" s="467" t="s">
        <v>328</v>
      </c>
      <c r="C35" s="468">
        <v>1643575</v>
      </c>
      <c r="D35" s="432">
        <v>5938632</v>
      </c>
      <c r="E35" s="432">
        <v>4311794</v>
      </c>
      <c r="F35" s="432">
        <v>2624791</v>
      </c>
      <c r="G35" s="432">
        <v>1304110</v>
      </c>
      <c r="H35" s="432">
        <v>5157343</v>
      </c>
      <c r="I35" s="432">
        <v>3815503</v>
      </c>
      <c r="J35" s="432">
        <v>2569450</v>
      </c>
      <c r="K35" s="432">
        <v>1267737</v>
      </c>
      <c r="L35" s="432">
        <v>4918717</v>
      </c>
      <c r="M35" s="432">
        <v>3597465</v>
      </c>
      <c r="N35" s="432">
        <v>2333974</v>
      </c>
      <c r="O35" s="432">
        <v>1134803</v>
      </c>
      <c r="P35" s="444"/>
      <c r="Q35" s="430">
        <v>3323179</v>
      </c>
      <c r="R35" s="430">
        <v>2478913</v>
      </c>
      <c r="S35" s="430">
        <v>1582636</v>
      </c>
      <c r="T35" s="430">
        <v>773047</v>
      </c>
      <c r="U35" s="432">
        <v>2525280</v>
      </c>
      <c r="V35" s="432">
        <v>1763861</v>
      </c>
      <c r="W35" s="432">
        <v>1019551</v>
      </c>
      <c r="X35" s="432">
        <v>330731</v>
      </c>
      <c r="Y35" s="464">
        <v>1923667</v>
      </c>
      <c r="Z35" s="430">
        <v>1425238</v>
      </c>
      <c r="AA35" s="430">
        <v>897643</v>
      </c>
      <c r="AB35" s="465">
        <v>442374</v>
      </c>
      <c r="AC35" s="430">
        <v>1923667</v>
      </c>
      <c r="AD35" s="430">
        <f t="shared" si="0"/>
        <v>498429</v>
      </c>
      <c r="AE35" s="430">
        <v>1425238</v>
      </c>
      <c r="AF35" s="430">
        <v>527595</v>
      </c>
      <c r="AG35" s="430">
        <v>897643</v>
      </c>
      <c r="AH35" s="430">
        <v>455269</v>
      </c>
      <c r="AI35" s="430">
        <v>442374</v>
      </c>
      <c r="AJ35" s="432">
        <v>1775313</v>
      </c>
      <c r="AK35" s="432">
        <v>475371</v>
      </c>
      <c r="AL35" s="432">
        <v>1299942</v>
      </c>
      <c r="AM35" s="432">
        <v>476287</v>
      </c>
      <c r="AN35" s="432">
        <v>823655</v>
      </c>
      <c r="AO35" s="432">
        <f t="shared" si="1"/>
        <v>883856</v>
      </c>
      <c r="AP35" s="432">
        <v>416086</v>
      </c>
      <c r="AQ35" s="430">
        <v>1810401</v>
      </c>
      <c r="AR35" s="430">
        <v>334369</v>
      </c>
      <c r="AS35" s="430">
        <v>1476032</v>
      </c>
      <c r="AT35" s="430">
        <v>414161</v>
      </c>
      <c r="AU35" s="430">
        <v>1061871</v>
      </c>
      <c r="AV35" s="430">
        <v>440677</v>
      </c>
      <c r="AW35" s="430">
        <v>621194</v>
      </c>
      <c r="AX35" s="432"/>
      <c r="AY35" s="432"/>
      <c r="AZ35" s="432"/>
    </row>
    <row r="36" spans="1:52" s="400" customFormat="1" ht="11.25" hidden="1" customHeight="1">
      <c r="A36" s="461" t="s">
        <v>329</v>
      </c>
      <c r="B36" s="462" t="s">
        <v>330</v>
      </c>
      <c r="C36" s="463">
        <v>0</v>
      </c>
      <c r="D36" s="432">
        <v>0</v>
      </c>
      <c r="E36" s="432">
        <v>0</v>
      </c>
      <c r="F36" s="432">
        <v>0</v>
      </c>
      <c r="G36" s="432">
        <v>0</v>
      </c>
      <c r="H36" s="432">
        <v>0</v>
      </c>
      <c r="I36" s="432">
        <v>0</v>
      </c>
      <c r="J36" s="432">
        <v>0</v>
      </c>
      <c r="K36" s="432">
        <v>0</v>
      </c>
      <c r="L36" s="432">
        <v>0</v>
      </c>
      <c r="M36" s="432">
        <v>0</v>
      </c>
      <c r="N36" s="432">
        <v>0</v>
      </c>
      <c r="O36" s="432">
        <v>1144655</v>
      </c>
      <c r="P36" s="444"/>
      <c r="Q36" s="430">
        <v>0</v>
      </c>
      <c r="R36" s="430">
        <v>0</v>
      </c>
      <c r="S36" s="430">
        <v>0</v>
      </c>
      <c r="T36" s="430">
        <v>0</v>
      </c>
      <c r="U36" s="432">
        <v>0</v>
      </c>
      <c r="V36" s="432">
        <v>0</v>
      </c>
      <c r="W36" s="432">
        <v>0</v>
      </c>
      <c r="X36" s="432">
        <v>0</v>
      </c>
      <c r="Y36" s="464">
        <v>0</v>
      </c>
      <c r="Z36" s="430">
        <v>0</v>
      </c>
      <c r="AA36" s="430">
        <v>0</v>
      </c>
      <c r="AB36" s="465">
        <v>0</v>
      </c>
      <c r="AC36" s="430">
        <v>0</v>
      </c>
      <c r="AD36" s="430">
        <f t="shared" si="0"/>
        <v>624</v>
      </c>
      <c r="AE36" s="430">
        <v>-624</v>
      </c>
      <c r="AF36" s="430">
        <v>-624</v>
      </c>
      <c r="AG36" s="430">
        <v>0</v>
      </c>
      <c r="AH36" s="430">
        <v>0</v>
      </c>
      <c r="AI36" s="430">
        <v>0</v>
      </c>
      <c r="AJ36" s="432">
        <v>0</v>
      </c>
      <c r="AK36" s="432">
        <v>0</v>
      </c>
      <c r="AL36" s="432">
        <v>0</v>
      </c>
      <c r="AM36" s="432">
        <v>0</v>
      </c>
      <c r="AN36" s="432">
        <v>0</v>
      </c>
      <c r="AO36" s="432">
        <f t="shared" si="1"/>
        <v>0</v>
      </c>
      <c r="AP36" s="432">
        <v>0</v>
      </c>
      <c r="AQ36" s="430">
        <v>0</v>
      </c>
      <c r="AR36" s="430">
        <v>0</v>
      </c>
      <c r="AS36" s="430">
        <v>0</v>
      </c>
      <c r="AT36" s="430">
        <v>0</v>
      </c>
      <c r="AU36" s="430">
        <v>0</v>
      </c>
      <c r="AV36" s="430">
        <v>0</v>
      </c>
      <c r="AW36" s="430">
        <v>0</v>
      </c>
      <c r="AX36" s="432"/>
      <c r="AY36" s="432"/>
      <c r="AZ36" s="432"/>
    </row>
    <row r="37" spans="1:52" s="400" customFormat="1" ht="11.25" hidden="1" customHeight="1">
      <c r="A37" s="466" t="s">
        <v>331</v>
      </c>
      <c r="B37" s="467" t="s">
        <v>332</v>
      </c>
      <c r="C37" s="468">
        <v>0</v>
      </c>
      <c r="D37" s="469">
        <v>0</v>
      </c>
      <c r="E37" s="469">
        <v>0</v>
      </c>
      <c r="F37" s="469">
        <v>0</v>
      </c>
      <c r="G37" s="469">
        <v>0</v>
      </c>
      <c r="H37" s="469">
        <v>0</v>
      </c>
      <c r="I37" s="469">
        <v>0</v>
      </c>
      <c r="J37" s="469">
        <v>0</v>
      </c>
      <c r="K37" s="469">
        <v>0</v>
      </c>
      <c r="L37" s="469">
        <v>0</v>
      </c>
      <c r="M37" s="469">
        <v>0</v>
      </c>
      <c r="N37" s="469">
        <v>0</v>
      </c>
      <c r="O37" s="469">
        <v>0</v>
      </c>
      <c r="P37" s="444"/>
      <c r="Q37" s="470">
        <v>0</v>
      </c>
      <c r="R37" s="470">
        <v>0</v>
      </c>
      <c r="S37" s="470">
        <v>0</v>
      </c>
      <c r="T37" s="470">
        <v>0</v>
      </c>
      <c r="U37" s="469">
        <v>0</v>
      </c>
      <c r="V37" s="469">
        <v>0</v>
      </c>
      <c r="W37" s="469">
        <v>0</v>
      </c>
      <c r="X37" s="469">
        <v>0</v>
      </c>
      <c r="Y37" s="471">
        <v>0</v>
      </c>
      <c r="Z37" s="470">
        <v>0</v>
      </c>
      <c r="AA37" s="470">
        <v>0</v>
      </c>
      <c r="AB37" s="472">
        <v>0</v>
      </c>
      <c r="AC37" s="470">
        <v>0</v>
      </c>
      <c r="AD37" s="470">
        <f t="shared" si="0"/>
        <v>-1425238</v>
      </c>
      <c r="AE37" s="470">
        <v>1425238</v>
      </c>
      <c r="AF37" s="470">
        <v>1425238</v>
      </c>
      <c r="AG37" s="470">
        <v>0</v>
      </c>
      <c r="AH37" s="470">
        <v>0</v>
      </c>
      <c r="AI37" s="470">
        <v>0</v>
      </c>
      <c r="AJ37" s="469">
        <v>0</v>
      </c>
      <c r="AK37" s="469">
        <v>0</v>
      </c>
      <c r="AL37" s="469">
        <v>0</v>
      </c>
      <c r="AM37" s="469">
        <v>0</v>
      </c>
      <c r="AN37" s="469">
        <v>0</v>
      </c>
      <c r="AO37" s="469">
        <f t="shared" si="1"/>
        <v>0</v>
      </c>
      <c r="AP37" s="469">
        <v>0</v>
      </c>
      <c r="AQ37" s="470">
        <v>0</v>
      </c>
      <c r="AR37" s="470">
        <v>0</v>
      </c>
      <c r="AS37" s="470">
        <v>0</v>
      </c>
      <c r="AT37" s="470">
        <v>0</v>
      </c>
      <c r="AU37" s="470">
        <v>0</v>
      </c>
      <c r="AV37" s="470">
        <v>0</v>
      </c>
      <c r="AW37" s="470">
        <v>0</v>
      </c>
      <c r="AX37" s="432"/>
      <c r="AY37" s="432"/>
      <c r="AZ37" s="432"/>
    </row>
    <row r="38" spans="1:52" s="400" customFormat="1">
      <c r="A38" s="466" t="s">
        <v>52</v>
      </c>
      <c r="B38" s="467" t="s">
        <v>333</v>
      </c>
      <c r="C38" s="468">
        <v>1643575</v>
      </c>
      <c r="D38" s="469">
        <v>5938632</v>
      </c>
      <c r="E38" s="469">
        <v>4311794</v>
      </c>
      <c r="F38" s="469">
        <v>2624791</v>
      </c>
      <c r="G38" s="469">
        <v>1304110</v>
      </c>
      <c r="H38" s="469">
        <v>5157343</v>
      </c>
      <c r="I38" s="469">
        <v>3815503</v>
      </c>
      <c r="J38" s="469">
        <v>2569450</v>
      </c>
      <c r="K38" s="469">
        <v>1267737</v>
      </c>
      <c r="L38" s="469">
        <v>4918717</v>
      </c>
      <c r="M38" s="469">
        <v>3597465</v>
      </c>
      <c r="N38" s="469">
        <v>2333974</v>
      </c>
      <c r="O38" s="469">
        <v>1134803</v>
      </c>
      <c r="P38" s="444"/>
      <c r="Q38" s="470">
        <v>3323179</v>
      </c>
      <c r="R38" s="470">
        <v>2478913</v>
      </c>
      <c r="S38" s="470">
        <v>1582636</v>
      </c>
      <c r="T38" s="470">
        <v>773047</v>
      </c>
      <c r="U38" s="469">
        <v>2525280</v>
      </c>
      <c r="V38" s="469">
        <v>1763861</v>
      </c>
      <c r="W38" s="469">
        <v>1019551</v>
      </c>
      <c r="X38" s="469">
        <v>330731</v>
      </c>
      <c r="Y38" s="471">
        <v>1923667</v>
      </c>
      <c r="Z38" s="470">
        <v>1425238</v>
      </c>
      <c r="AA38" s="470">
        <v>897643</v>
      </c>
      <c r="AB38" s="472">
        <v>442374</v>
      </c>
      <c r="AC38" s="470">
        <v>1923667</v>
      </c>
      <c r="AD38" s="470">
        <f t="shared" si="0"/>
        <v>498429</v>
      </c>
      <c r="AE38" s="470">
        <v>1425238</v>
      </c>
      <c r="AF38" s="470">
        <v>527595</v>
      </c>
      <c r="AG38" s="470">
        <v>897643</v>
      </c>
      <c r="AH38" s="470">
        <v>455269</v>
      </c>
      <c r="AI38" s="470">
        <v>442374</v>
      </c>
      <c r="AJ38" s="469">
        <v>1775313</v>
      </c>
      <c r="AK38" s="469">
        <v>475371</v>
      </c>
      <c r="AL38" s="469">
        <v>1299942</v>
      </c>
      <c r="AM38" s="469">
        <v>476287</v>
      </c>
      <c r="AN38" s="469">
        <v>823655</v>
      </c>
      <c r="AO38" s="469">
        <f t="shared" si="1"/>
        <v>883856</v>
      </c>
      <c r="AP38" s="469">
        <v>416086</v>
      </c>
      <c r="AQ38" s="470">
        <v>1810401</v>
      </c>
      <c r="AR38" s="470">
        <v>334369</v>
      </c>
      <c r="AS38" s="470">
        <v>1476032</v>
      </c>
      <c r="AT38" s="470">
        <v>414161</v>
      </c>
      <c r="AU38" s="470">
        <v>1061871</v>
      </c>
      <c r="AV38" s="470">
        <v>440677</v>
      </c>
      <c r="AW38" s="470">
        <v>621194</v>
      </c>
      <c r="AX38" s="432"/>
      <c r="AY38" s="432"/>
      <c r="AZ38" s="432"/>
    </row>
    <row r="39" spans="1:52" s="400" customFormat="1">
      <c r="A39" s="477" t="s">
        <v>54</v>
      </c>
      <c r="B39" s="462" t="s">
        <v>334</v>
      </c>
      <c r="C39" s="475">
        <v>-821466</v>
      </c>
      <c r="D39" s="432">
        <v>-3266893</v>
      </c>
      <c r="E39" s="432">
        <v>-2153549</v>
      </c>
      <c r="F39" s="432">
        <v>-1338481</v>
      </c>
      <c r="G39" s="432">
        <v>-673392</v>
      </c>
      <c r="H39" s="432">
        <v>-3131773</v>
      </c>
      <c r="I39" s="432">
        <v>-2361029</v>
      </c>
      <c r="J39" s="432">
        <v>-1706201</v>
      </c>
      <c r="K39" s="432">
        <v>-816327</v>
      </c>
      <c r="L39" s="432">
        <v>-3224420</v>
      </c>
      <c r="M39" s="432">
        <v>-2182262</v>
      </c>
      <c r="N39" s="432">
        <v>-1417415</v>
      </c>
      <c r="O39" s="432">
        <v>-748607</v>
      </c>
      <c r="P39" s="444"/>
      <c r="Q39" s="430">
        <v>-3094607</v>
      </c>
      <c r="R39" s="430">
        <v>-2111680</v>
      </c>
      <c r="S39" s="430">
        <v>-1216619</v>
      </c>
      <c r="T39" s="430">
        <v>-617416</v>
      </c>
      <c r="U39" s="432">
        <v>-2573395</v>
      </c>
      <c r="V39" s="432">
        <v>-1767164</v>
      </c>
      <c r="W39" s="432">
        <v>-1163601</v>
      </c>
      <c r="X39" s="432">
        <v>-577775</v>
      </c>
      <c r="Y39" s="464">
        <v>-1687910</v>
      </c>
      <c r="Z39" s="430">
        <v>-1241033</v>
      </c>
      <c r="AA39" s="430">
        <v>-838863</v>
      </c>
      <c r="AB39" s="465">
        <v>-436137</v>
      </c>
      <c r="AC39" s="430">
        <v>-1687910</v>
      </c>
      <c r="AD39" s="430">
        <f t="shared" si="0"/>
        <v>-446877</v>
      </c>
      <c r="AE39" s="430">
        <v>-1241033</v>
      </c>
      <c r="AF39" s="430">
        <v>-402170</v>
      </c>
      <c r="AG39" s="430">
        <v>-838863</v>
      </c>
      <c r="AH39" s="430">
        <v>-402726</v>
      </c>
      <c r="AI39" s="430">
        <v>-436137</v>
      </c>
      <c r="AJ39" s="432">
        <v>-1699466</v>
      </c>
      <c r="AK39" s="432">
        <v>-577968</v>
      </c>
      <c r="AL39" s="432">
        <v>-1121498</v>
      </c>
      <c r="AM39" s="432">
        <v>-411254</v>
      </c>
      <c r="AN39" s="432">
        <v>-710244</v>
      </c>
      <c r="AO39" s="432">
        <f t="shared" si="1"/>
        <v>-762007</v>
      </c>
      <c r="AP39" s="432">
        <v>-359491</v>
      </c>
      <c r="AQ39" s="430">
        <v>-1442264</v>
      </c>
      <c r="AR39" s="430">
        <v>-363314</v>
      </c>
      <c r="AS39" s="430">
        <v>-1078950</v>
      </c>
      <c r="AT39" s="430">
        <v>-353846</v>
      </c>
      <c r="AU39" s="430">
        <v>-725104</v>
      </c>
      <c r="AV39" s="430">
        <v>-363180</v>
      </c>
      <c r="AW39" s="430">
        <v>-361924</v>
      </c>
      <c r="AX39" s="432"/>
      <c r="AY39" s="432"/>
      <c r="AZ39" s="432"/>
    </row>
    <row r="40" spans="1:52" s="400" customFormat="1">
      <c r="A40" s="461"/>
      <c r="B40" s="462" t="s">
        <v>335</v>
      </c>
      <c r="C40" s="463">
        <v>-493585</v>
      </c>
      <c r="D40" s="432">
        <v>-1970710</v>
      </c>
      <c r="E40" s="432">
        <v>-1300222</v>
      </c>
      <c r="F40" s="432">
        <v>-816522</v>
      </c>
      <c r="G40" s="432">
        <v>-409725</v>
      </c>
      <c r="H40" s="432">
        <v>-1897878</v>
      </c>
      <c r="I40" s="432">
        <v>-1443625</v>
      </c>
      <c r="J40" s="432">
        <v>-1051058</v>
      </c>
      <c r="K40" s="432">
        <v>-433392</v>
      </c>
      <c r="L40" s="432">
        <v>-1980567</v>
      </c>
      <c r="M40" s="432">
        <v>-1231426</v>
      </c>
      <c r="N40" s="432">
        <v>-849174</v>
      </c>
      <c r="O40" s="432">
        <v>-423227</v>
      </c>
      <c r="P40" s="444"/>
      <c r="Q40" s="430">
        <v>-1682286</v>
      </c>
      <c r="R40" s="430">
        <v>-1072485</v>
      </c>
      <c r="S40" s="430">
        <v>-711542</v>
      </c>
      <c r="T40" s="430">
        <v>-352154</v>
      </c>
      <c r="U40" s="432">
        <v>-1528240</v>
      </c>
      <c r="V40" s="432">
        <v>-971024</v>
      </c>
      <c r="W40" s="432">
        <v>-657203</v>
      </c>
      <c r="X40" s="432">
        <v>-302142</v>
      </c>
      <c r="Y40" s="464">
        <v>-960719</v>
      </c>
      <c r="Z40" s="430">
        <v>-721302</v>
      </c>
      <c r="AA40" s="430">
        <v>-504664</v>
      </c>
      <c r="AB40" s="465">
        <v>-255576</v>
      </c>
      <c r="AC40" s="430">
        <v>-960719</v>
      </c>
      <c r="AD40" s="430">
        <f t="shared" si="0"/>
        <v>-239417</v>
      </c>
      <c r="AE40" s="430">
        <v>-721302</v>
      </c>
      <c r="AF40" s="430">
        <v>-216638</v>
      </c>
      <c r="AG40" s="430">
        <v>-504664</v>
      </c>
      <c r="AH40" s="430">
        <v>-249088</v>
      </c>
      <c r="AI40" s="430">
        <v>-255576</v>
      </c>
      <c r="AJ40" s="432">
        <v>-1049686</v>
      </c>
      <c r="AK40" s="432">
        <v>-392010</v>
      </c>
      <c r="AL40" s="432">
        <v>-657676</v>
      </c>
      <c r="AM40" s="432">
        <v>-230936</v>
      </c>
      <c r="AN40" s="432">
        <v>-426740</v>
      </c>
      <c r="AO40" s="432">
        <f t="shared" si="1"/>
        <v>-444045</v>
      </c>
      <c r="AP40" s="432">
        <v>-213631</v>
      </c>
      <c r="AQ40" s="430">
        <v>-821494</v>
      </c>
      <c r="AR40" s="430">
        <v>-206507</v>
      </c>
      <c r="AS40" s="430">
        <v>-614987</v>
      </c>
      <c r="AT40" s="430">
        <v>-194553</v>
      </c>
      <c r="AU40" s="430">
        <v>-420434</v>
      </c>
      <c r="AV40" s="430">
        <v>-212900</v>
      </c>
      <c r="AW40" s="430">
        <v>-207534</v>
      </c>
      <c r="AX40" s="432"/>
      <c r="AY40" s="432"/>
      <c r="AZ40" s="432"/>
    </row>
    <row r="41" spans="1:52" s="400" customFormat="1">
      <c r="A41" s="461"/>
      <c r="B41" s="462" t="s">
        <v>336</v>
      </c>
      <c r="C41" s="463">
        <v>-327881</v>
      </c>
      <c r="D41" s="432">
        <v>-1296183</v>
      </c>
      <c r="E41" s="432">
        <v>-853327</v>
      </c>
      <c r="F41" s="432">
        <v>-521959</v>
      </c>
      <c r="G41" s="432">
        <v>-263667</v>
      </c>
      <c r="H41" s="432">
        <v>-1233895</v>
      </c>
      <c r="I41" s="432">
        <v>-917404</v>
      </c>
      <c r="J41" s="432">
        <v>-655143</v>
      </c>
      <c r="K41" s="432">
        <v>-382935</v>
      </c>
      <c r="L41" s="432">
        <v>-1243853</v>
      </c>
      <c r="M41" s="432">
        <v>-950836</v>
      </c>
      <c r="N41" s="432">
        <v>-568241</v>
      </c>
      <c r="O41" s="432">
        <v>-325380</v>
      </c>
      <c r="P41" s="444"/>
      <c r="Q41" s="430">
        <v>-1412321</v>
      </c>
      <c r="R41" s="430">
        <v>-1039195</v>
      </c>
      <c r="S41" s="430">
        <v>-505077</v>
      </c>
      <c r="T41" s="430">
        <v>-265262</v>
      </c>
      <c r="U41" s="432">
        <v>-1045155</v>
      </c>
      <c r="V41" s="432">
        <v>-796140</v>
      </c>
      <c r="W41" s="432">
        <v>-506398</v>
      </c>
      <c r="X41" s="432">
        <v>-275633</v>
      </c>
      <c r="Y41" s="464">
        <v>-727191</v>
      </c>
      <c r="Z41" s="430">
        <v>-519731</v>
      </c>
      <c r="AA41" s="430">
        <v>-334199</v>
      </c>
      <c r="AB41" s="465">
        <v>-180561</v>
      </c>
      <c r="AC41" s="430">
        <v>-727191</v>
      </c>
      <c r="AD41" s="430">
        <f t="shared" si="0"/>
        <v>-207460</v>
      </c>
      <c r="AE41" s="430">
        <v>-519731</v>
      </c>
      <c r="AF41" s="430">
        <v>-185532</v>
      </c>
      <c r="AG41" s="430">
        <v>-334199</v>
      </c>
      <c r="AH41" s="430">
        <v>-153638</v>
      </c>
      <c r="AI41" s="430">
        <v>-180561</v>
      </c>
      <c r="AJ41" s="432">
        <v>-649780</v>
      </c>
      <c r="AK41" s="432">
        <v>-185958</v>
      </c>
      <c r="AL41" s="432">
        <v>-463822</v>
      </c>
      <c r="AM41" s="432">
        <v>-180318</v>
      </c>
      <c r="AN41" s="432">
        <v>-283504</v>
      </c>
      <c r="AO41" s="432">
        <f t="shared" si="1"/>
        <v>-317962</v>
      </c>
      <c r="AP41" s="432">
        <v>-145860</v>
      </c>
      <c r="AQ41" s="430">
        <v>-620770</v>
      </c>
      <c r="AR41" s="430">
        <v>-156807</v>
      </c>
      <c r="AS41" s="430">
        <v>-463963</v>
      </c>
      <c r="AT41" s="430">
        <v>-159293</v>
      </c>
      <c r="AU41" s="430">
        <v>-304670</v>
      </c>
      <c r="AV41" s="430">
        <v>-150280</v>
      </c>
      <c r="AW41" s="430">
        <v>-154390</v>
      </c>
      <c r="AX41" s="432"/>
      <c r="AY41" s="432"/>
      <c r="AZ41" s="432"/>
    </row>
    <row r="42" spans="1:52" s="400" customFormat="1">
      <c r="A42" s="461" t="s">
        <v>56</v>
      </c>
      <c r="B42" s="462" t="s">
        <v>87</v>
      </c>
      <c r="C42" s="475">
        <v>8881</v>
      </c>
      <c r="D42" s="432">
        <v>-55007</v>
      </c>
      <c r="E42" s="432">
        <v>-29623</v>
      </c>
      <c r="F42" s="432">
        <v>-14734</v>
      </c>
      <c r="G42" s="432">
        <v>-16872</v>
      </c>
      <c r="H42" s="432">
        <v>-58653</v>
      </c>
      <c r="I42" s="432">
        <v>-14008</v>
      </c>
      <c r="J42" s="432">
        <v>5995</v>
      </c>
      <c r="K42" s="432">
        <v>12341</v>
      </c>
      <c r="L42" s="432">
        <v>-62481</v>
      </c>
      <c r="M42" s="432">
        <v>-69479</v>
      </c>
      <c r="N42" s="432">
        <v>-65386</v>
      </c>
      <c r="O42" s="432">
        <v>-57088</v>
      </c>
      <c r="P42" s="444"/>
      <c r="Q42" s="430">
        <v>-132256</v>
      </c>
      <c r="R42" s="430">
        <v>-52824</v>
      </c>
      <c r="S42" s="430">
        <v>-41039</v>
      </c>
      <c r="T42" s="430">
        <v>-12200</v>
      </c>
      <c r="U42" s="432">
        <v>-62148</v>
      </c>
      <c r="V42" s="432">
        <v>-35190</v>
      </c>
      <c r="W42" s="432">
        <v>-30663</v>
      </c>
      <c r="X42" s="432">
        <v>-21071</v>
      </c>
      <c r="Y42" s="464">
        <v>-21029</v>
      </c>
      <c r="Z42" s="430">
        <v>-18558</v>
      </c>
      <c r="AA42" s="430">
        <v>-3449</v>
      </c>
      <c r="AB42" s="465">
        <v>2276</v>
      </c>
      <c r="AC42" s="430">
        <v>-21029</v>
      </c>
      <c r="AD42" s="430">
        <f t="shared" si="0"/>
        <v>-2471</v>
      </c>
      <c r="AE42" s="430">
        <v>-18558</v>
      </c>
      <c r="AF42" s="430">
        <v>-15109</v>
      </c>
      <c r="AG42" s="430">
        <v>-3449</v>
      </c>
      <c r="AH42" s="430">
        <v>-5725</v>
      </c>
      <c r="AI42" s="430">
        <v>2276</v>
      </c>
      <c r="AJ42" s="432">
        <v>-12193</v>
      </c>
      <c r="AK42" s="432">
        <v>-2991</v>
      </c>
      <c r="AL42" s="432">
        <v>-9202</v>
      </c>
      <c r="AM42" s="432">
        <v>2491</v>
      </c>
      <c r="AN42" s="432">
        <v>-11693</v>
      </c>
      <c r="AO42" s="432">
        <f t="shared" si="1"/>
        <v>-7207</v>
      </c>
      <c r="AP42" s="432">
        <v>-1995</v>
      </c>
      <c r="AQ42" s="430">
        <v>-7794</v>
      </c>
      <c r="AR42" s="430">
        <v>41336</v>
      </c>
      <c r="AS42" s="430">
        <v>-49130</v>
      </c>
      <c r="AT42" s="430">
        <v>-12091</v>
      </c>
      <c r="AU42" s="430">
        <v>-37039</v>
      </c>
      <c r="AV42" s="430">
        <v>-25376</v>
      </c>
      <c r="AW42" s="430">
        <v>-11663</v>
      </c>
      <c r="AX42" s="432"/>
      <c r="AY42" s="432"/>
      <c r="AZ42" s="432"/>
    </row>
    <row r="43" spans="1:52" s="400" customFormat="1">
      <c r="A43" s="461"/>
      <c r="B43" s="462" t="s">
        <v>337</v>
      </c>
      <c r="C43" s="463">
        <v>22336</v>
      </c>
      <c r="D43" s="432">
        <v>3296</v>
      </c>
      <c r="E43" s="432">
        <v>-7994</v>
      </c>
      <c r="F43" s="432">
        <v>5314</v>
      </c>
      <c r="G43" s="432">
        <v>-4079</v>
      </c>
      <c r="H43" s="432">
        <v>18417</v>
      </c>
      <c r="I43" s="432">
        <v>16305</v>
      </c>
      <c r="J43" s="432">
        <v>15949</v>
      </c>
      <c r="K43" s="432">
        <v>19026</v>
      </c>
      <c r="L43" s="432">
        <v>30624</v>
      </c>
      <c r="M43" s="432">
        <v>12262</v>
      </c>
      <c r="N43" s="432">
        <v>10950</v>
      </c>
      <c r="O43" s="432">
        <v>-2566</v>
      </c>
      <c r="P43" s="444"/>
      <c r="Q43" s="430">
        <v>-42891</v>
      </c>
      <c r="R43" s="430">
        <v>-25233</v>
      </c>
      <c r="S43" s="430">
        <v>-24047</v>
      </c>
      <c r="T43" s="430">
        <v>-2582</v>
      </c>
      <c r="U43" s="432">
        <v>-17389</v>
      </c>
      <c r="V43" s="432">
        <v>-575</v>
      </c>
      <c r="W43" s="432">
        <v>-2744</v>
      </c>
      <c r="X43" s="432">
        <v>-1082</v>
      </c>
      <c r="Y43" s="464">
        <v>-6329</v>
      </c>
      <c r="Z43" s="430">
        <v>705</v>
      </c>
      <c r="AA43" s="430">
        <v>-1459</v>
      </c>
      <c r="AB43" s="465">
        <v>1017</v>
      </c>
      <c r="AC43" s="430">
        <v>-6329</v>
      </c>
      <c r="AD43" s="430">
        <f t="shared" si="0"/>
        <v>-7034</v>
      </c>
      <c r="AE43" s="430">
        <v>705</v>
      </c>
      <c r="AF43" s="430">
        <v>2164</v>
      </c>
      <c r="AG43" s="430">
        <v>-1459</v>
      </c>
      <c r="AH43" s="430">
        <v>-2476</v>
      </c>
      <c r="AI43" s="430">
        <v>1017</v>
      </c>
      <c r="AJ43" s="432">
        <v>9032</v>
      </c>
      <c r="AK43" s="432">
        <v>2195</v>
      </c>
      <c r="AL43" s="432">
        <v>6837</v>
      </c>
      <c r="AM43" s="432">
        <v>5904</v>
      </c>
      <c r="AN43" s="432">
        <v>933</v>
      </c>
      <c r="AO43" s="432">
        <f t="shared" si="1"/>
        <v>5720</v>
      </c>
      <c r="AP43" s="432">
        <v>1117</v>
      </c>
      <c r="AQ43" s="430">
        <v>16197</v>
      </c>
      <c r="AR43" s="430">
        <v>-2646</v>
      </c>
      <c r="AS43" s="430">
        <v>18843</v>
      </c>
      <c r="AT43" s="430">
        <v>6920</v>
      </c>
      <c r="AU43" s="430">
        <v>11923</v>
      </c>
      <c r="AV43" s="430">
        <v>-2041</v>
      </c>
      <c r="AW43" s="430">
        <v>13964</v>
      </c>
      <c r="AX43" s="432"/>
      <c r="AY43" s="432"/>
      <c r="AZ43" s="432"/>
    </row>
    <row r="44" spans="1:52" s="400" customFormat="1">
      <c r="A44" s="478"/>
      <c r="B44" s="479" t="s">
        <v>338</v>
      </c>
      <c r="C44" s="463">
        <v>-13455</v>
      </c>
      <c r="D44" s="432">
        <v>-58303</v>
      </c>
      <c r="E44" s="432">
        <v>-21629</v>
      </c>
      <c r="F44" s="432">
        <v>-20048</v>
      </c>
      <c r="G44" s="432">
        <v>-12793</v>
      </c>
      <c r="H44" s="432">
        <v>-77070</v>
      </c>
      <c r="I44" s="432">
        <v>-30313</v>
      </c>
      <c r="J44" s="432">
        <v>-9954</v>
      </c>
      <c r="K44" s="432">
        <v>-6685</v>
      </c>
      <c r="L44" s="432">
        <v>-93105</v>
      </c>
      <c r="M44" s="432">
        <v>-81741</v>
      </c>
      <c r="N44" s="432">
        <v>-76336</v>
      </c>
      <c r="O44" s="432">
        <v>-54522</v>
      </c>
      <c r="P44" s="444"/>
      <c r="Q44" s="430">
        <v>-89365</v>
      </c>
      <c r="R44" s="430">
        <v>-27591</v>
      </c>
      <c r="S44" s="430">
        <v>-16992</v>
      </c>
      <c r="T44" s="430">
        <v>-9618</v>
      </c>
      <c r="U44" s="432">
        <v>-44759</v>
      </c>
      <c r="V44" s="432">
        <v>-34615</v>
      </c>
      <c r="W44" s="432">
        <v>-27919</v>
      </c>
      <c r="X44" s="432">
        <v>-19989</v>
      </c>
      <c r="Y44" s="464">
        <v>-14700</v>
      </c>
      <c r="Z44" s="430">
        <v>-19263</v>
      </c>
      <c r="AA44" s="430">
        <v>-1990</v>
      </c>
      <c r="AB44" s="465">
        <v>1259</v>
      </c>
      <c r="AC44" s="430">
        <v>-14700</v>
      </c>
      <c r="AD44" s="430">
        <f t="shared" si="0"/>
        <v>4563</v>
      </c>
      <c r="AE44" s="430">
        <v>-19263</v>
      </c>
      <c r="AF44" s="430">
        <v>-17273</v>
      </c>
      <c r="AG44" s="430">
        <v>-1990</v>
      </c>
      <c r="AH44" s="430">
        <v>-3249</v>
      </c>
      <c r="AI44" s="430">
        <v>1259</v>
      </c>
      <c r="AJ44" s="432">
        <v>-21225</v>
      </c>
      <c r="AK44" s="432">
        <v>-5186</v>
      </c>
      <c r="AL44" s="432">
        <v>-16039</v>
      </c>
      <c r="AM44" s="432">
        <v>-3413</v>
      </c>
      <c r="AN44" s="432">
        <v>-12626</v>
      </c>
      <c r="AO44" s="432">
        <f t="shared" si="1"/>
        <v>-12927</v>
      </c>
      <c r="AP44" s="432">
        <v>-3112</v>
      </c>
      <c r="AQ44" s="430">
        <v>-23991</v>
      </c>
      <c r="AR44" s="430">
        <v>43982</v>
      </c>
      <c r="AS44" s="430">
        <v>-67973</v>
      </c>
      <c r="AT44" s="430">
        <v>-19011</v>
      </c>
      <c r="AU44" s="430">
        <v>-48962</v>
      </c>
      <c r="AV44" s="430">
        <v>-23335</v>
      </c>
      <c r="AW44" s="430">
        <v>-25627</v>
      </c>
      <c r="AX44" s="432"/>
      <c r="AY44" s="432"/>
      <c r="AZ44" s="432"/>
    </row>
    <row r="45" spans="1:52" s="400" customFormat="1">
      <c r="A45" s="461" t="s">
        <v>58</v>
      </c>
      <c r="B45" s="462" t="s">
        <v>339</v>
      </c>
      <c r="C45" s="463">
        <v>-52871</v>
      </c>
      <c r="D45" s="432">
        <v>-188437</v>
      </c>
      <c r="E45" s="432">
        <v>-135117</v>
      </c>
      <c r="F45" s="432">
        <v>-81228</v>
      </c>
      <c r="G45" s="432">
        <v>-39987</v>
      </c>
      <c r="H45" s="432">
        <v>-173340</v>
      </c>
      <c r="I45" s="432">
        <v>-123355</v>
      </c>
      <c r="J45" s="432">
        <v>-80378</v>
      </c>
      <c r="K45" s="432">
        <v>-39824</v>
      </c>
      <c r="L45" s="432">
        <v>-166488</v>
      </c>
      <c r="M45" s="432">
        <v>-116596</v>
      </c>
      <c r="N45" s="432">
        <v>-78682</v>
      </c>
      <c r="O45" s="432">
        <v>-39542</v>
      </c>
      <c r="P45" s="444"/>
      <c r="Q45" s="430">
        <v>-149025</v>
      </c>
      <c r="R45" s="430">
        <v>-105737</v>
      </c>
      <c r="S45" s="430">
        <v>-66368</v>
      </c>
      <c r="T45" s="430">
        <v>-32390</v>
      </c>
      <c r="U45" s="432">
        <v>-168434</v>
      </c>
      <c r="V45" s="432">
        <v>-101793</v>
      </c>
      <c r="W45" s="432">
        <v>-67921</v>
      </c>
      <c r="X45" s="432">
        <v>-34082</v>
      </c>
      <c r="Y45" s="464">
        <v>-107719</v>
      </c>
      <c r="Z45" s="430">
        <v>-78228</v>
      </c>
      <c r="AA45" s="430">
        <v>-52465</v>
      </c>
      <c r="AB45" s="465">
        <v>-26000</v>
      </c>
      <c r="AC45" s="430">
        <v>-118816</v>
      </c>
      <c r="AD45" s="430">
        <f t="shared" si="0"/>
        <v>-34724</v>
      </c>
      <c r="AE45" s="430">
        <v>-84092</v>
      </c>
      <c r="AF45" s="430">
        <v>-27972</v>
      </c>
      <c r="AG45" s="430">
        <v>-56120</v>
      </c>
      <c r="AH45" s="430">
        <v>-29068</v>
      </c>
      <c r="AI45" s="430">
        <v>-27052</v>
      </c>
      <c r="AJ45" s="432">
        <v>-125524</v>
      </c>
      <c r="AK45" s="432">
        <v>-55875</v>
      </c>
      <c r="AL45" s="432">
        <v>-69649</v>
      </c>
      <c r="AM45" s="432">
        <v>-26531</v>
      </c>
      <c r="AN45" s="432">
        <v>-43118</v>
      </c>
      <c r="AO45" s="432">
        <f t="shared" si="1"/>
        <v>-49035</v>
      </c>
      <c r="AP45" s="432">
        <v>-20614</v>
      </c>
      <c r="AQ45" s="430">
        <v>-70405</v>
      </c>
      <c r="AR45" s="430">
        <v>-26505</v>
      </c>
      <c r="AS45" s="430">
        <v>-43900</v>
      </c>
      <c r="AT45" s="430">
        <v>-10546</v>
      </c>
      <c r="AU45" s="430">
        <v>-33354</v>
      </c>
      <c r="AV45" s="430">
        <v>-23226</v>
      </c>
      <c r="AW45" s="430">
        <v>-10128</v>
      </c>
      <c r="AX45" s="432"/>
      <c r="AY45" s="432"/>
      <c r="AZ45" s="432"/>
    </row>
    <row r="46" spans="1:52" s="400" customFormat="1">
      <c r="A46" s="477" t="s">
        <v>60</v>
      </c>
      <c r="B46" s="480" t="s">
        <v>89</v>
      </c>
      <c r="C46" s="463">
        <v>-57923</v>
      </c>
      <c r="D46" s="432">
        <v>-210899</v>
      </c>
      <c r="E46" s="432">
        <v>-113530</v>
      </c>
      <c r="F46" s="432">
        <v>-69548</v>
      </c>
      <c r="G46" s="432">
        <v>-33744</v>
      </c>
      <c r="H46" s="432">
        <v>-161251</v>
      </c>
      <c r="I46" s="432">
        <v>-82464</v>
      </c>
      <c r="J46" s="432">
        <v>-51872</v>
      </c>
      <c r="K46" s="432">
        <v>-23220</v>
      </c>
      <c r="L46" s="432">
        <v>-97076</v>
      </c>
      <c r="M46" s="432">
        <v>-57460</v>
      </c>
      <c r="N46" s="432">
        <v>-36335</v>
      </c>
      <c r="O46" s="432">
        <v>-17619</v>
      </c>
      <c r="P46" s="444"/>
      <c r="Q46" s="430">
        <v>-78647</v>
      </c>
      <c r="R46" s="430">
        <v>-49009</v>
      </c>
      <c r="S46" s="430">
        <v>-27714</v>
      </c>
      <c r="T46" s="430">
        <v>-13194</v>
      </c>
      <c r="U46" s="432">
        <v>-111683</v>
      </c>
      <c r="V46" s="432">
        <v>-58020</v>
      </c>
      <c r="W46" s="432">
        <v>-39043</v>
      </c>
      <c r="X46" s="432">
        <v>-20372</v>
      </c>
      <c r="Y46" s="464">
        <v>-59702</v>
      </c>
      <c r="Z46" s="430">
        <v>-43911</v>
      </c>
      <c r="AA46" s="430">
        <v>-28888</v>
      </c>
      <c r="AB46" s="465">
        <v>-13905</v>
      </c>
      <c r="AC46" s="430">
        <v>-59702</v>
      </c>
      <c r="AD46" s="430">
        <f t="shared" si="0"/>
        <v>-15791</v>
      </c>
      <c r="AE46" s="430">
        <v>-43911</v>
      </c>
      <c r="AF46" s="430">
        <v>-15023</v>
      </c>
      <c r="AG46" s="430">
        <v>-28888</v>
      </c>
      <c r="AH46" s="430">
        <v>-14983</v>
      </c>
      <c r="AI46" s="430">
        <v>-13905</v>
      </c>
      <c r="AJ46" s="432">
        <v>-59552</v>
      </c>
      <c r="AK46" s="432">
        <v>-20460</v>
      </c>
      <c r="AL46" s="432">
        <v>-39092</v>
      </c>
      <c r="AM46" s="432">
        <v>-13658</v>
      </c>
      <c r="AN46" s="432">
        <v>-25434</v>
      </c>
      <c r="AO46" s="432">
        <f t="shared" si="1"/>
        <v>-26534</v>
      </c>
      <c r="AP46" s="432">
        <v>-12558</v>
      </c>
      <c r="AQ46" s="430">
        <v>-48534</v>
      </c>
      <c r="AR46" s="430">
        <v>-13176</v>
      </c>
      <c r="AS46" s="430">
        <v>-35358</v>
      </c>
      <c r="AT46" s="430">
        <v>-12387</v>
      </c>
      <c r="AU46" s="430">
        <v>-22971</v>
      </c>
      <c r="AV46" s="430">
        <v>-11760</v>
      </c>
      <c r="AW46" s="430">
        <v>-11211</v>
      </c>
      <c r="AX46" s="432"/>
      <c r="AY46" s="432"/>
      <c r="AZ46" s="432"/>
    </row>
    <row r="47" spans="1:52" s="400" customFormat="1" ht="12.75" customHeight="1">
      <c r="A47" s="477" t="s">
        <v>91</v>
      </c>
      <c r="B47" s="480" t="s">
        <v>90</v>
      </c>
      <c r="C47" s="463">
        <v>101564</v>
      </c>
      <c r="D47" s="432">
        <v>478804</v>
      </c>
      <c r="E47" s="432">
        <v>350493</v>
      </c>
      <c r="F47" s="432">
        <v>233372</v>
      </c>
      <c r="G47" s="432">
        <v>128191</v>
      </c>
      <c r="H47" s="432">
        <v>399805</v>
      </c>
      <c r="I47" s="432">
        <v>278893</v>
      </c>
      <c r="J47" s="432">
        <v>156939</v>
      </c>
      <c r="K47" s="432">
        <v>65345</v>
      </c>
      <c r="L47" s="432">
        <v>391296</v>
      </c>
      <c r="M47" s="432">
        <v>252448</v>
      </c>
      <c r="N47" s="432">
        <v>175420</v>
      </c>
      <c r="O47" s="432">
        <v>103520</v>
      </c>
      <c r="P47" s="444"/>
      <c r="Q47" s="430">
        <v>579073</v>
      </c>
      <c r="R47" s="430">
        <v>183020</v>
      </c>
      <c r="S47" s="430">
        <v>103955</v>
      </c>
      <c r="T47" s="430">
        <v>56436</v>
      </c>
      <c r="U47" s="432">
        <v>238727</v>
      </c>
      <c r="V47" s="432">
        <v>163506</v>
      </c>
      <c r="W47" s="432">
        <v>95599</v>
      </c>
      <c r="X47" s="432">
        <v>42974</v>
      </c>
      <c r="Y47" s="464">
        <v>169491</v>
      </c>
      <c r="Z47" s="430">
        <v>123995</v>
      </c>
      <c r="AA47" s="430">
        <v>81452</v>
      </c>
      <c r="AB47" s="465">
        <v>48644</v>
      </c>
      <c r="AC47" s="430">
        <v>169491</v>
      </c>
      <c r="AD47" s="430">
        <f t="shared" si="0"/>
        <v>45496</v>
      </c>
      <c r="AE47" s="430">
        <v>123995</v>
      </c>
      <c r="AF47" s="430">
        <v>42543</v>
      </c>
      <c r="AG47" s="430">
        <v>81452</v>
      </c>
      <c r="AH47" s="430">
        <v>32808</v>
      </c>
      <c r="AI47" s="430">
        <v>48644</v>
      </c>
      <c r="AJ47" s="432">
        <v>188348</v>
      </c>
      <c r="AK47" s="432">
        <v>53526</v>
      </c>
      <c r="AL47" s="432">
        <v>134822</v>
      </c>
      <c r="AM47" s="432">
        <v>55835</v>
      </c>
      <c r="AN47" s="432">
        <v>78987</v>
      </c>
      <c r="AO47" s="432">
        <f t="shared" si="1"/>
        <v>96739</v>
      </c>
      <c r="AP47" s="432">
        <v>38083</v>
      </c>
      <c r="AQ47" s="430">
        <v>152823</v>
      </c>
      <c r="AR47" s="430">
        <v>27192</v>
      </c>
      <c r="AS47" s="430">
        <v>125631</v>
      </c>
      <c r="AT47" s="430">
        <v>42520</v>
      </c>
      <c r="AU47" s="430">
        <v>83111</v>
      </c>
      <c r="AV47" s="430">
        <v>39803</v>
      </c>
      <c r="AW47" s="430">
        <v>43308</v>
      </c>
      <c r="AX47" s="432"/>
      <c r="AY47" s="432"/>
      <c r="AZ47" s="432"/>
    </row>
    <row r="48" spans="1:52" s="400" customFormat="1">
      <c r="A48" s="466" t="s">
        <v>93</v>
      </c>
      <c r="B48" s="467" t="s">
        <v>92</v>
      </c>
      <c r="C48" s="468">
        <v>-821815</v>
      </c>
      <c r="D48" s="469">
        <v>-3242432</v>
      </c>
      <c r="E48" s="469">
        <v>-2081326</v>
      </c>
      <c r="F48" s="469">
        <v>-1270619</v>
      </c>
      <c r="G48" s="469">
        <v>-635804</v>
      </c>
      <c r="H48" s="469">
        <v>-3125212</v>
      </c>
      <c r="I48" s="469">
        <v>-2301963</v>
      </c>
      <c r="J48" s="469">
        <v>-1675517</v>
      </c>
      <c r="K48" s="469">
        <v>-801685</v>
      </c>
      <c r="L48" s="469">
        <v>-3159169</v>
      </c>
      <c r="M48" s="469">
        <v>-2173349</v>
      </c>
      <c r="N48" s="469">
        <v>-1422398</v>
      </c>
      <c r="O48" s="469">
        <v>-759336</v>
      </c>
      <c r="P48" s="444"/>
      <c r="Q48" s="470">
        <v>-2875462</v>
      </c>
      <c r="R48" s="470">
        <v>-2136230</v>
      </c>
      <c r="S48" s="470">
        <v>-1247785</v>
      </c>
      <c r="T48" s="470">
        <v>-618764</v>
      </c>
      <c r="U48" s="469">
        <v>-2676933</v>
      </c>
      <c r="V48" s="469">
        <v>-1798661</v>
      </c>
      <c r="W48" s="469">
        <v>-1205629</v>
      </c>
      <c r="X48" s="469">
        <v>-610326</v>
      </c>
      <c r="Y48" s="471">
        <v>-1706869</v>
      </c>
      <c r="Z48" s="470">
        <v>-1257735</v>
      </c>
      <c r="AA48" s="470">
        <v>-842213</v>
      </c>
      <c r="AB48" s="472">
        <v>-425122</v>
      </c>
      <c r="AC48" s="470">
        <v>-1717966</v>
      </c>
      <c r="AD48" s="470">
        <f t="shared" si="0"/>
        <v>-454367</v>
      </c>
      <c r="AE48" s="470">
        <v>-1263599</v>
      </c>
      <c r="AF48" s="470">
        <v>-417731</v>
      </c>
      <c r="AG48" s="470">
        <v>-845868</v>
      </c>
      <c r="AH48" s="470">
        <v>-419694</v>
      </c>
      <c r="AI48" s="470">
        <v>-426174</v>
      </c>
      <c r="AJ48" s="469">
        <v>-1708387</v>
      </c>
      <c r="AK48" s="469">
        <v>-603768</v>
      </c>
      <c r="AL48" s="469">
        <v>-1104619</v>
      </c>
      <c r="AM48" s="469">
        <v>-393117</v>
      </c>
      <c r="AN48" s="469">
        <v>-711502</v>
      </c>
      <c r="AO48" s="469">
        <f t="shared" si="1"/>
        <v>-748044</v>
      </c>
      <c r="AP48" s="469">
        <v>-356575</v>
      </c>
      <c r="AQ48" s="470">
        <v>-1416174</v>
      </c>
      <c r="AR48" s="470">
        <v>-334467</v>
      </c>
      <c r="AS48" s="470">
        <v>-1081707</v>
      </c>
      <c r="AT48" s="470">
        <v>-346350</v>
      </c>
      <c r="AU48" s="470">
        <v>-735357</v>
      </c>
      <c r="AV48" s="470">
        <v>-383739</v>
      </c>
      <c r="AW48" s="470">
        <v>-351618</v>
      </c>
      <c r="AX48" s="432"/>
      <c r="AY48" s="432"/>
      <c r="AZ48" s="432"/>
    </row>
    <row r="49" spans="1:52" s="400" customFormat="1" ht="12.75" customHeight="1">
      <c r="A49" s="477" t="s">
        <v>340</v>
      </c>
      <c r="B49" s="480" t="s">
        <v>341</v>
      </c>
      <c r="C49" s="463">
        <v>9155</v>
      </c>
      <c r="D49" s="432">
        <v>25718</v>
      </c>
      <c r="E49" s="432">
        <v>25129</v>
      </c>
      <c r="F49" s="432">
        <v>10239</v>
      </c>
      <c r="G49" s="432">
        <v>5125</v>
      </c>
      <c r="H49" s="432">
        <v>52360</v>
      </c>
      <c r="I49" s="432">
        <v>153015</v>
      </c>
      <c r="J49" s="432">
        <v>149064</v>
      </c>
      <c r="K49" s="432">
        <v>146142</v>
      </c>
      <c r="L49" s="432">
        <v>46270</v>
      </c>
      <c r="M49" s="432">
        <v>39959</v>
      </c>
      <c r="N49" s="432">
        <v>16259</v>
      </c>
      <c r="O49" s="432">
        <v>11447</v>
      </c>
      <c r="P49" s="444"/>
      <c r="Q49" s="430">
        <v>19145</v>
      </c>
      <c r="R49" s="430">
        <v>14815</v>
      </c>
      <c r="S49" s="430">
        <v>9013</v>
      </c>
      <c r="T49" s="430">
        <v>3859</v>
      </c>
      <c r="U49" s="432">
        <v>10802</v>
      </c>
      <c r="V49" s="432">
        <v>1009</v>
      </c>
      <c r="W49" s="432">
        <v>515</v>
      </c>
      <c r="X49" s="432">
        <v>2280</v>
      </c>
      <c r="Y49" s="464">
        <v>-2945</v>
      </c>
      <c r="Z49" s="430">
        <v>-4523</v>
      </c>
      <c r="AA49" s="430">
        <v>-5537</v>
      </c>
      <c r="AB49" s="465">
        <v>34</v>
      </c>
      <c r="AC49" s="430">
        <v>-2945</v>
      </c>
      <c r="AD49" s="430">
        <f t="shared" si="0"/>
        <v>1578</v>
      </c>
      <c r="AE49" s="430">
        <v>-4523</v>
      </c>
      <c r="AF49" s="430">
        <v>1014</v>
      </c>
      <c r="AG49" s="430">
        <v>-5537</v>
      </c>
      <c r="AH49" s="430">
        <v>-5571</v>
      </c>
      <c r="AI49" s="430">
        <v>34</v>
      </c>
      <c r="AJ49" s="432">
        <v>7213</v>
      </c>
      <c r="AK49" s="432">
        <v>-3326</v>
      </c>
      <c r="AL49" s="432">
        <v>10539</v>
      </c>
      <c r="AM49" s="432">
        <v>2201</v>
      </c>
      <c r="AN49" s="432">
        <v>8338</v>
      </c>
      <c r="AO49" s="432">
        <f t="shared" si="1"/>
        <v>6775</v>
      </c>
      <c r="AP49" s="432">
        <v>3764</v>
      </c>
      <c r="AQ49" s="430">
        <v>13349</v>
      </c>
      <c r="AR49" s="430">
        <v>4543</v>
      </c>
      <c r="AS49" s="430">
        <v>8806</v>
      </c>
      <c r="AT49" s="430">
        <v>3467</v>
      </c>
      <c r="AU49" s="430">
        <v>5339</v>
      </c>
      <c r="AV49" s="430">
        <v>2569</v>
      </c>
      <c r="AW49" s="430">
        <v>2770</v>
      </c>
      <c r="AX49" s="432"/>
      <c r="AY49" s="432"/>
      <c r="AZ49" s="432"/>
    </row>
    <row r="50" spans="1:52" s="400" customFormat="1">
      <c r="A50" s="461" t="s">
        <v>95</v>
      </c>
      <c r="B50" s="462" t="s">
        <v>342</v>
      </c>
      <c r="C50" s="463">
        <v>-464</v>
      </c>
      <c r="D50" s="432">
        <v>1386</v>
      </c>
      <c r="E50" s="432">
        <v>2350</v>
      </c>
      <c r="F50" s="432">
        <v>2207</v>
      </c>
      <c r="G50" s="432">
        <v>141</v>
      </c>
      <c r="H50" s="432">
        <v>-30054</v>
      </c>
      <c r="I50" s="432">
        <v>1512</v>
      </c>
      <c r="J50" s="432">
        <v>1121</v>
      </c>
      <c r="K50" s="432">
        <v>43</v>
      </c>
      <c r="L50" s="432">
        <v>-47656</v>
      </c>
      <c r="M50" s="432">
        <v>-738</v>
      </c>
      <c r="N50" s="432">
        <v>-386</v>
      </c>
      <c r="O50" s="432">
        <v>685</v>
      </c>
      <c r="P50" s="444"/>
      <c r="Q50" s="430">
        <v>-30164</v>
      </c>
      <c r="R50" s="430">
        <v>-1457</v>
      </c>
      <c r="S50" s="430">
        <v>-1689</v>
      </c>
      <c r="T50" s="430">
        <v>393</v>
      </c>
      <c r="U50" s="432">
        <v>-64455</v>
      </c>
      <c r="V50" s="432">
        <v>-27484</v>
      </c>
      <c r="W50" s="432">
        <v>-23711</v>
      </c>
      <c r="X50" s="432">
        <v>-22641</v>
      </c>
      <c r="Y50" s="464">
        <v>-17069</v>
      </c>
      <c r="Z50" s="430">
        <v>-5633</v>
      </c>
      <c r="AA50" s="430">
        <v>-4618</v>
      </c>
      <c r="AB50" s="465">
        <v>0</v>
      </c>
      <c r="AC50" s="430">
        <v>0</v>
      </c>
      <c r="AD50" s="430">
        <f t="shared" si="0"/>
        <v>0</v>
      </c>
      <c r="AE50" s="430">
        <v>0</v>
      </c>
      <c r="AF50" s="430">
        <v>0</v>
      </c>
      <c r="AG50" s="430">
        <v>0</v>
      </c>
      <c r="AH50" s="430">
        <v>0</v>
      </c>
      <c r="AI50" s="430">
        <v>0</v>
      </c>
      <c r="AJ50" s="432">
        <v>0</v>
      </c>
      <c r="AK50" s="432">
        <v>0</v>
      </c>
      <c r="AL50" s="432">
        <v>0</v>
      </c>
      <c r="AM50" s="432">
        <v>0</v>
      </c>
      <c r="AN50" s="432">
        <v>0</v>
      </c>
      <c r="AO50" s="432">
        <f t="shared" si="1"/>
        <v>0</v>
      </c>
      <c r="AP50" s="432">
        <v>0</v>
      </c>
      <c r="AQ50" s="430">
        <v>0</v>
      </c>
      <c r="AR50" s="430">
        <v>0</v>
      </c>
      <c r="AS50" s="430">
        <v>0</v>
      </c>
      <c r="AT50" s="430">
        <v>0</v>
      </c>
      <c r="AU50" s="430">
        <v>0</v>
      </c>
      <c r="AV50" s="430">
        <v>0</v>
      </c>
      <c r="AW50" s="430">
        <v>0</v>
      </c>
      <c r="AX50" s="432"/>
      <c r="AY50" s="432"/>
      <c r="AZ50" s="432"/>
    </row>
    <row r="51" spans="1:52" s="400" customFormat="1">
      <c r="A51" s="461" t="s">
        <v>97</v>
      </c>
      <c r="B51" s="462" t="s">
        <v>131</v>
      </c>
      <c r="C51" s="463">
        <v>0</v>
      </c>
      <c r="D51" s="432">
        <v>0</v>
      </c>
      <c r="E51" s="432">
        <v>0</v>
      </c>
      <c r="F51" s="432">
        <v>0</v>
      </c>
      <c r="G51" s="432">
        <v>0</v>
      </c>
      <c r="H51" s="432">
        <v>0</v>
      </c>
      <c r="I51" s="432">
        <v>0</v>
      </c>
      <c r="J51" s="432">
        <v>0</v>
      </c>
      <c r="K51" s="432">
        <v>0</v>
      </c>
      <c r="L51" s="432">
        <v>-34374</v>
      </c>
      <c r="M51" s="432">
        <v>-6768</v>
      </c>
      <c r="N51" s="432">
        <v>-6768</v>
      </c>
      <c r="O51" s="432">
        <v>0</v>
      </c>
      <c r="P51" s="444"/>
      <c r="Q51" s="430">
        <v>0</v>
      </c>
      <c r="R51" s="430">
        <v>0</v>
      </c>
      <c r="S51" s="430">
        <v>0</v>
      </c>
      <c r="T51" s="430">
        <v>0</v>
      </c>
      <c r="U51" s="432">
        <v>-230366</v>
      </c>
      <c r="V51" s="432">
        <v>-230366</v>
      </c>
      <c r="W51" s="432">
        <v>-230366</v>
      </c>
      <c r="X51" s="432">
        <v>-230366</v>
      </c>
      <c r="Y51" s="464">
        <v>0</v>
      </c>
      <c r="Z51" s="430">
        <v>0</v>
      </c>
      <c r="AA51" s="430">
        <v>0</v>
      </c>
      <c r="AB51" s="465">
        <v>0</v>
      </c>
      <c r="AC51" s="430">
        <v>0</v>
      </c>
      <c r="AD51" s="430">
        <f t="shared" si="0"/>
        <v>0</v>
      </c>
      <c r="AE51" s="430">
        <v>0</v>
      </c>
      <c r="AF51" s="430">
        <v>0</v>
      </c>
      <c r="AG51" s="430">
        <v>0</v>
      </c>
      <c r="AH51" s="430">
        <v>0</v>
      </c>
      <c r="AI51" s="430">
        <v>0</v>
      </c>
      <c r="AJ51" s="432">
        <v>0</v>
      </c>
      <c r="AK51" s="432">
        <v>0</v>
      </c>
      <c r="AL51" s="432">
        <v>0</v>
      </c>
      <c r="AM51" s="432">
        <v>0</v>
      </c>
      <c r="AN51" s="432">
        <v>0</v>
      </c>
      <c r="AO51" s="432">
        <f t="shared" si="1"/>
        <v>0</v>
      </c>
      <c r="AP51" s="432">
        <v>0</v>
      </c>
      <c r="AQ51" s="430">
        <v>-62344</v>
      </c>
      <c r="AR51" s="430">
        <v>-62344</v>
      </c>
      <c r="AS51" s="430">
        <v>0</v>
      </c>
      <c r="AT51" s="430">
        <v>0</v>
      </c>
      <c r="AU51" s="430">
        <v>0</v>
      </c>
      <c r="AV51" s="430">
        <v>0</v>
      </c>
      <c r="AW51" s="430">
        <v>0</v>
      </c>
      <c r="AX51" s="432"/>
      <c r="AY51" s="432"/>
      <c r="AZ51" s="432"/>
    </row>
    <row r="52" spans="1:52" s="400" customFormat="1">
      <c r="A52" s="481" t="s">
        <v>489</v>
      </c>
      <c r="B52" s="462" t="s">
        <v>306</v>
      </c>
      <c r="C52" s="463">
        <v>0</v>
      </c>
      <c r="D52" s="432">
        <v>0</v>
      </c>
      <c r="E52" s="432">
        <v>0</v>
      </c>
      <c r="F52" s="432">
        <v>0</v>
      </c>
      <c r="G52" s="432">
        <v>0</v>
      </c>
      <c r="H52" s="432">
        <v>0</v>
      </c>
      <c r="I52" s="432">
        <v>0</v>
      </c>
      <c r="J52" s="432">
        <v>0</v>
      </c>
      <c r="K52" s="432">
        <v>0</v>
      </c>
      <c r="L52" s="432">
        <v>0</v>
      </c>
      <c r="M52" s="432">
        <v>0</v>
      </c>
      <c r="N52" s="432">
        <v>0</v>
      </c>
      <c r="O52" s="432">
        <v>0</v>
      </c>
      <c r="P52" s="444"/>
      <c r="Q52" s="430">
        <v>948123</v>
      </c>
      <c r="R52" s="430">
        <v>1171322</v>
      </c>
      <c r="S52" s="430">
        <v>1188433</v>
      </c>
      <c r="T52" s="430">
        <v>0</v>
      </c>
      <c r="U52" s="432">
        <v>1127847</v>
      </c>
      <c r="V52" s="432">
        <v>1127847</v>
      </c>
      <c r="W52" s="432">
        <v>1149922</v>
      </c>
      <c r="X52" s="432">
        <v>1077869</v>
      </c>
      <c r="Y52" s="464">
        <v>0</v>
      </c>
      <c r="Z52" s="430">
        <v>0</v>
      </c>
      <c r="AA52" s="430">
        <v>0</v>
      </c>
      <c r="AB52" s="465">
        <v>0</v>
      </c>
      <c r="AC52" s="430">
        <v>0</v>
      </c>
      <c r="AD52" s="430">
        <f t="shared" si="0"/>
        <v>0</v>
      </c>
      <c r="AE52" s="430">
        <v>0</v>
      </c>
      <c r="AF52" s="430">
        <v>0</v>
      </c>
      <c r="AG52" s="430">
        <v>0</v>
      </c>
      <c r="AH52" s="430">
        <v>0</v>
      </c>
      <c r="AI52" s="430">
        <v>0</v>
      </c>
      <c r="AJ52" s="432">
        <v>343361</v>
      </c>
      <c r="AK52" s="432">
        <v>-10444</v>
      </c>
      <c r="AL52" s="432">
        <v>353805</v>
      </c>
      <c r="AM52" s="432">
        <v>353805</v>
      </c>
      <c r="AN52" s="432"/>
      <c r="AO52" s="432"/>
      <c r="AP52" s="432"/>
      <c r="AQ52" s="430"/>
      <c r="AR52" s="430"/>
      <c r="AS52" s="430"/>
      <c r="AT52" s="430"/>
      <c r="AU52" s="430"/>
      <c r="AV52" s="430"/>
      <c r="AW52" s="430"/>
      <c r="AX52" s="432"/>
      <c r="AY52" s="432"/>
      <c r="AZ52" s="432"/>
    </row>
    <row r="53" spans="1:52" s="400" customFormat="1">
      <c r="A53" s="461" t="s">
        <v>99</v>
      </c>
      <c r="B53" s="462" t="s">
        <v>343</v>
      </c>
      <c r="C53" s="463">
        <v>108</v>
      </c>
      <c r="D53" s="432">
        <v>-485</v>
      </c>
      <c r="E53" s="432">
        <v>1533</v>
      </c>
      <c r="F53" s="432">
        <v>2059</v>
      </c>
      <c r="G53" s="432">
        <v>243</v>
      </c>
      <c r="H53" s="432">
        <v>-457</v>
      </c>
      <c r="I53" s="432">
        <v>585</v>
      </c>
      <c r="J53" s="432">
        <v>-129</v>
      </c>
      <c r="K53" s="432">
        <v>-956</v>
      </c>
      <c r="L53" s="432">
        <v>855</v>
      </c>
      <c r="M53" s="432">
        <v>605</v>
      </c>
      <c r="N53" s="432">
        <v>226</v>
      </c>
      <c r="O53" s="432">
        <v>-8</v>
      </c>
      <c r="P53" s="444"/>
      <c r="Q53" s="430">
        <v>3274</v>
      </c>
      <c r="R53" s="430">
        <v>-7</v>
      </c>
      <c r="S53" s="430">
        <v>-310</v>
      </c>
      <c r="T53" s="430">
        <v>-226</v>
      </c>
      <c r="U53" s="432">
        <v>696</v>
      </c>
      <c r="V53" s="432">
        <v>926</v>
      </c>
      <c r="W53" s="432">
        <v>278</v>
      </c>
      <c r="X53" s="432">
        <v>72</v>
      </c>
      <c r="Y53" s="464">
        <v>-49</v>
      </c>
      <c r="Z53" s="430">
        <v>131</v>
      </c>
      <c r="AA53" s="430">
        <v>68</v>
      </c>
      <c r="AB53" s="465">
        <v>30</v>
      </c>
      <c r="AC53" s="430">
        <v>866</v>
      </c>
      <c r="AD53" s="430">
        <f t="shared" si="0"/>
        <v>363</v>
      </c>
      <c r="AE53" s="430">
        <v>503</v>
      </c>
      <c r="AF53" s="430">
        <v>126</v>
      </c>
      <c r="AG53" s="430">
        <v>377</v>
      </c>
      <c r="AH53" s="430">
        <v>90</v>
      </c>
      <c r="AI53" s="430">
        <v>287</v>
      </c>
      <c r="AJ53" s="432">
        <v>-602</v>
      </c>
      <c r="AK53" s="432">
        <v>1127</v>
      </c>
      <c r="AL53" s="432">
        <v>-1729</v>
      </c>
      <c r="AM53" s="432">
        <v>-1786</v>
      </c>
      <c r="AN53" s="432">
        <v>57</v>
      </c>
      <c r="AO53" s="432">
        <f t="shared" si="1"/>
        <v>-1774</v>
      </c>
      <c r="AP53" s="432">
        <v>45</v>
      </c>
      <c r="AQ53" s="430">
        <v>294</v>
      </c>
      <c r="AR53" s="430">
        <v>147</v>
      </c>
      <c r="AS53" s="430">
        <v>147</v>
      </c>
      <c r="AT53" s="430">
        <v>68</v>
      </c>
      <c r="AU53" s="430">
        <v>79</v>
      </c>
      <c r="AV53" s="430">
        <v>22</v>
      </c>
      <c r="AW53" s="430">
        <v>57</v>
      </c>
      <c r="AX53" s="432"/>
      <c r="AY53" s="432"/>
      <c r="AZ53" s="432"/>
    </row>
    <row r="54" spans="1:52" s="400" customFormat="1" ht="12.75" customHeight="1">
      <c r="A54" s="466" t="s">
        <v>101</v>
      </c>
      <c r="B54" s="467" t="s">
        <v>344</v>
      </c>
      <c r="C54" s="468">
        <v>830559</v>
      </c>
      <c r="D54" s="469">
        <v>2722819</v>
      </c>
      <c r="E54" s="469">
        <v>2259480</v>
      </c>
      <c r="F54" s="469">
        <v>1368677</v>
      </c>
      <c r="G54" s="469">
        <v>673815</v>
      </c>
      <c r="H54" s="469">
        <v>2053980</v>
      </c>
      <c r="I54" s="469">
        <v>1668652</v>
      </c>
      <c r="J54" s="469">
        <v>1043989</v>
      </c>
      <c r="K54" s="469">
        <v>611281</v>
      </c>
      <c r="L54" s="469">
        <v>1724643</v>
      </c>
      <c r="M54" s="469">
        <v>1457174</v>
      </c>
      <c r="N54" s="469">
        <v>920907</v>
      </c>
      <c r="O54" s="469">
        <v>387591</v>
      </c>
      <c r="P54" s="444"/>
      <c r="Q54" s="470">
        <v>1388095</v>
      </c>
      <c r="R54" s="470">
        <v>1527356</v>
      </c>
      <c r="S54" s="470">
        <v>1530298</v>
      </c>
      <c r="T54" s="470">
        <v>158309</v>
      </c>
      <c r="U54" s="469">
        <v>692871</v>
      </c>
      <c r="V54" s="469">
        <v>837132</v>
      </c>
      <c r="W54" s="469">
        <v>710560</v>
      </c>
      <c r="X54" s="469">
        <v>547619</v>
      </c>
      <c r="Y54" s="471">
        <v>196735</v>
      </c>
      <c r="Z54" s="470">
        <v>157478</v>
      </c>
      <c r="AA54" s="470">
        <v>45343</v>
      </c>
      <c r="AB54" s="472">
        <v>17316</v>
      </c>
      <c r="AC54" s="470">
        <v>203622</v>
      </c>
      <c r="AD54" s="470">
        <f t="shared" si="0"/>
        <v>46003</v>
      </c>
      <c r="AE54" s="470">
        <v>157619</v>
      </c>
      <c r="AF54" s="470">
        <v>111004</v>
      </c>
      <c r="AG54" s="470">
        <v>46615</v>
      </c>
      <c r="AH54" s="470">
        <v>30094</v>
      </c>
      <c r="AI54" s="470">
        <v>16521</v>
      </c>
      <c r="AJ54" s="469">
        <v>416898</v>
      </c>
      <c r="AK54" s="469">
        <v>-141040</v>
      </c>
      <c r="AL54" s="469">
        <v>557938</v>
      </c>
      <c r="AM54" s="469">
        <v>437390</v>
      </c>
      <c r="AN54" s="469">
        <v>120548</v>
      </c>
      <c r="AO54" s="469">
        <f t="shared" si="1"/>
        <v>494618</v>
      </c>
      <c r="AP54" s="469">
        <v>63320</v>
      </c>
      <c r="AQ54" s="470">
        <v>345526</v>
      </c>
      <c r="AR54" s="470">
        <v>-57752</v>
      </c>
      <c r="AS54" s="470">
        <v>403278</v>
      </c>
      <c r="AT54" s="470">
        <v>71346</v>
      </c>
      <c r="AU54" s="470">
        <v>331932</v>
      </c>
      <c r="AV54" s="470">
        <v>59529</v>
      </c>
      <c r="AW54" s="470">
        <v>272403</v>
      </c>
      <c r="AX54" s="432"/>
      <c r="AY54" s="432"/>
      <c r="AZ54" s="432"/>
    </row>
    <row r="55" spans="1:52" s="400" customFormat="1">
      <c r="A55" s="461" t="s">
        <v>103</v>
      </c>
      <c r="B55" s="462" t="s">
        <v>345</v>
      </c>
      <c r="C55" s="463">
        <v>-283496</v>
      </c>
      <c r="D55" s="432">
        <v>-842353</v>
      </c>
      <c r="E55" s="432">
        <v>-725044</v>
      </c>
      <c r="F55" s="432">
        <v>-448588</v>
      </c>
      <c r="G55" s="432">
        <v>-222360</v>
      </c>
      <c r="H55" s="432">
        <v>-615470</v>
      </c>
      <c r="I55" s="432">
        <v>-502704</v>
      </c>
      <c r="J55" s="432">
        <v>-302812</v>
      </c>
      <c r="K55" s="432">
        <v>-145029</v>
      </c>
      <c r="L55" s="432">
        <v>-172874</v>
      </c>
      <c r="M55" s="432">
        <v>-347364</v>
      </c>
      <c r="N55" s="432">
        <v>-201396</v>
      </c>
      <c r="O55" s="432">
        <v>-88249</v>
      </c>
      <c r="P55" s="444"/>
      <c r="Q55" s="430">
        <v>85785</v>
      </c>
      <c r="R55" s="430">
        <v>-45821</v>
      </c>
      <c r="S55" s="430">
        <v>-135324</v>
      </c>
      <c r="T55" s="430">
        <v>-39579</v>
      </c>
      <c r="U55" s="432">
        <v>-134222</v>
      </c>
      <c r="V55" s="432">
        <v>-226049</v>
      </c>
      <c r="W55" s="432">
        <v>-191732</v>
      </c>
      <c r="X55" s="432">
        <v>-140830</v>
      </c>
      <c r="Y55" s="464">
        <v>65191</v>
      </c>
      <c r="Z55" s="430">
        <v>60972</v>
      </c>
      <c r="AA55" s="430">
        <v>68021</v>
      </c>
      <c r="AB55" s="465">
        <v>-6582</v>
      </c>
      <c r="AC55" s="430">
        <v>67045</v>
      </c>
      <c r="AD55" s="430">
        <f t="shared" si="0"/>
        <v>4683</v>
      </c>
      <c r="AE55" s="430">
        <v>62362</v>
      </c>
      <c r="AF55" s="430">
        <v>-6585</v>
      </c>
      <c r="AG55" s="430">
        <v>68947</v>
      </c>
      <c r="AH55" s="430">
        <v>75066</v>
      </c>
      <c r="AI55" s="430">
        <v>-6119</v>
      </c>
      <c r="AJ55" s="432">
        <v>-22446</v>
      </c>
      <c r="AK55" s="432">
        <v>-2501</v>
      </c>
      <c r="AL55" s="432">
        <v>-19945</v>
      </c>
      <c r="AM55" s="432">
        <v>-8666</v>
      </c>
      <c r="AN55" s="432">
        <v>-11279</v>
      </c>
      <c r="AO55" s="432">
        <f t="shared" si="1"/>
        <v>-7679</v>
      </c>
      <c r="AP55" s="432">
        <v>-12266</v>
      </c>
      <c r="AQ55" s="430">
        <v>100264</v>
      </c>
      <c r="AR55" s="430">
        <v>124238</v>
      </c>
      <c r="AS55" s="430">
        <v>-23974</v>
      </c>
      <c r="AT55" s="430">
        <v>-14206</v>
      </c>
      <c r="AU55" s="430">
        <v>-9768</v>
      </c>
      <c r="AV55" s="430">
        <v>-2850</v>
      </c>
      <c r="AW55" s="430">
        <v>-6918</v>
      </c>
      <c r="AX55" s="432"/>
      <c r="AY55" s="432"/>
      <c r="AZ55" s="432"/>
    </row>
    <row r="56" spans="1:52" s="400" customFormat="1">
      <c r="A56" s="466" t="s">
        <v>105</v>
      </c>
      <c r="B56" s="467" t="s">
        <v>346</v>
      </c>
      <c r="C56" s="468">
        <v>547063</v>
      </c>
      <c r="D56" s="469">
        <v>1880466</v>
      </c>
      <c r="E56" s="469">
        <v>1534436</v>
      </c>
      <c r="F56" s="469">
        <v>920089</v>
      </c>
      <c r="G56" s="469">
        <v>451455</v>
      </c>
      <c r="H56" s="469">
        <v>1438510</v>
      </c>
      <c r="I56" s="469">
        <v>1165948</v>
      </c>
      <c r="J56" s="469">
        <v>741177</v>
      </c>
      <c r="K56" s="469">
        <v>466252</v>
      </c>
      <c r="L56" s="469">
        <v>1551769</v>
      </c>
      <c r="M56" s="469">
        <v>1109810</v>
      </c>
      <c r="N56" s="469">
        <v>719511</v>
      </c>
      <c r="O56" s="469">
        <v>299342</v>
      </c>
      <c r="P56" s="444"/>
      <c r="Q56" s="470">
        <v>1473880</v>
      </c>
      <c r="R56" s="470">
        <v>1481535</v>
      </c>
      <c r="S56" s="470">
        <v>1394974</v>
      </c>
      <c r="T56" s="470">
        <v>118730</v>
      </c>
      <c r="U56" s="469">
        <v>558649</v>
      </c>
      <c r="V56" s="469">
        <v>611083</v>
      </c>
      <c r="W56" s="469">
        <v>518828</v>
      </c>
      <c r="X56" s="469">
        <v>406789</v>
      </c>
      <c r="Y56" s="471">
        <v>261926</v>
      </c>
      <c r="Z56" s="470">
        <v>218450</v>
      </c>
      <c r="AA56" s="470">
        <v>113364</v>
      </c>
      <c r="AB56" s="472">
        <v>10734</v>
      </c>
      <c r="AC56" s="470">
        <v>270667</v>
      </c>
      <c r="AD56" s="470">
        <f t="shared" si="0"/>
        <v>50686</v>
      </c>
      <c r="AE56" s="470">
        <v>219981</v>
      </c>
      <c r="AF56" s="470">
        <v>104419</v>
      </c>
      <c r="AG56" s="470">
        <v>115562</v>
      </c>
      <c r="AH56" s="470">
        <v>105160</v>
      </c>
      <c r="AI56" s="470">
        <v>10402</v>
      </c>
      <c r="AJ56" s="469">
        <v>394452</v>
      </c>
      <c r="AK56" s="469">
        <v>-143541</v>
      </c>
      <c r="AL56" s="469">
        <v>537993</v>
      </c>
      <c r="AM56" s="469">
        <v>428724</v>
      </c>
      <c r="AN56" s="469">
        <v>109269</v>
      </c>
      <c r="AO56" s="469">
        <f t="shared" si="1"/>
        <v>486939</v>
      </c>
      <c r="AP56" s="469">
        <v>51054</v>
      </c>
      <c r="AQ56" s="470">
        <v>445790</v>
      </c>
      <c r="AR56" s="470">
        <v>66486</v>
      </c>
      <c r="AS56" s="470">
        <v>379304</v>
      </c>
      <c r="AT56" s="470">
        <v>57140</v>
      </c>
      <c r="AU56" s="470">
        <v>322164</v>
      </c>
      <c r="AV56" s="470">
        <v>56679</v>
      </c>
      <c r="AW56" s="470">
        <v>265485</v>
      </c>
      <c r="AX56" s="432"/>
      <c r="AY56" s="432"/>
      <c r="AZ56" s="432"/>
    </row>
    <row r="57" spans="1:52" s="400" customFormat="1">
      <c r="A57" s="461" t="s">
        <v>107</v>
      </c>
      <c r="B57" s="462" t="s">
        <v>347</v>
      </c>
      <c r="C57" s="463">
        <v>0</v>
      </c>
      <c r="D57" s="432">
        <v>0</v>
      </c>
      <c r="E57" s="432">
        <v>0</v>
      </c>
      <c r="F57" s="432">
        <v>0</v>
      </c>
      <c r="G57" s="432">
        <v>0</v>
      </c>
      <c r="H57" s="432">
        <v>0</v>
      </c>
      <c r="I57" s="432">
        <v>0</v>
      </c>
      <c r="J57" s="432">
        <v>0</v>
      </c>
      <c r="K57" s="432">
        <v>0</v>
      </c>
      <c r="L57" s="432">
        <v>0</v>
      </c>
      <c r="M57" s="432">
        <v>0</v>
      </c>
      <c r="N57" s="432">
        <v>0</v>
      </c>
      <c r="O57" s="432">
        <v>0</v>
      </c>
      <c r="P57" s="444"/>
      <c r="Q57" s="430">
        <v>0</v>
      </c>
      <c r="R57" s="430">
        <v>0</v>
      </c>
      <c r="S57" s="430">
        <v>0</v>
      </c>
      <c r="T57" s="430">
        <v>0</v>
      </c>
      <c r="U57" s="432">
        <v>0</v>
      </c>
      <c r="V57" s="432">
        <v>0</v>
      </c>
      <c r="W57" s="432">
        <v>0</v>
      </c>
      <c r="X57" s="432">
        <v>0</v>
      </c>
      <c r="Y57" s="464">
        <v>0</v>
      </c>
      <c r="Z57" s="430">
        <v>0</v>
      </c>
      <c r="AA57" s="430">
        <v>0</v>
      </c>
      <c r="AB57" s="465">
        <v>0</v>
      </c>
      <c r="AC57" s="430">
        <v>0</v>
      </c>
      <c r="AD57" s="430">
        <f t="shared" si="0"/>
        <v>0</v>
      </c>
      <c r="AE57" s="430">
        <v>0</v>
      </c>
      <c r="AF57" s="430">
        <v>0</v>
      </c>
      <c r="AG57" s="430">
        <v>0</v>
      </c>
      <c r="AH57" s="430">
        <v>0</v>
      </c>
      <c r="AI57" s="430">
        <v>0</v>
      </c>
      <c r="AJ57" s="432">
        <v>0</v>
      </c>
      <c r="AK57" s="432">
        <v>0</v>
      </c>
      <c r="AL57" s="432">
        <v>0</v>
      </c>
      <c r="AM57" s="432">
        <v>0</v>
      </c>
      <c r="AN57" s="432">
        <v>0</v>
      </c>
      <c r="AO57" s="432">
        <f t="shared" si="1"/>
        <v>0</v>
      </c>
      <c r="AP57" s="432">
        <v>0</v>
      </c>
      <c r="AQ57" s="430">
        <v>0</v>
      </c>
      <c r="AR57" s="430">
        <v>0</v>
      </c>
      <c r="AS57" s="430">
        <v>0</v>
      </c>
      <c r="AT57" s="430">
        <v>0</v>
      </c>
      <c r="AU57" s="430">
        <v>0</v>
      </c>
      <c r="AV57" s="430">
        <v>0</v>
      </c>
      <c r="AW57" s="430">
        <v>0</v>
      </c>
      <c r="AX57" s="432"/>
      <c r="AY57" s="432"/>
      <c r="AZ57" s="432"/>
    </row>
    <row r="58" spans="1:52" s="400" customFormat="1">
      <c r="A58" s="466" t="s">
        <v>108</v>
      </c>
      <c r="B58" s="467" t="s">
        <v>348</v>
      </c>
      <c r="C58" s="468">
        <v>547063</v>
      </c>
      <c r="D58" s="469">
        <v>1880466</v>
      </c>
      <c r="E58" s="469">
        <v>1534436</v>
      </c>
      <c r="F58" s="469">
        <v>920089</v>
      </c>
      <c r="G58" s="469">
        <v>451455</v>
      </c>
      <c r="H58" s="469">
        <v>1438510</v>
      </c>
      <c r="I58" s="469">
        <v>1165948</v>
      </c>
      <c r="J58" s="469">
        <v>741177</v>
      </c>
      <c r="K58" s="469">
        <v>466252</v>
      </c>
      <c r="L58" s="469">
        <v>1551769</v>
      </c>
      <c r="M58" s="469">
        <v>1109810</v>
      </c>
      <c r="N58" s="469">
        <v>719511</v>
      </c>
      <c r="O58" s="469">
        <v>299342</v>
      </c>
      <c r="P58" s="444"/>
      <c r="Q58" s="470">
        <v>1473880</v>
      </c>
      <c r="R58" s="470">
        <v>1481535</v>
      </c>
      <c r="S58" s="470">
        <v>1394974</v>
      </c>
      <c r="T58" s="470">
        <v>118730</v>
      </c>
      <c r="U58" s="469">
        <v>558649</v>
      </c>
      <c r="V58" s="469">
        <v>611083</v>
      </c>
      <c r="W58" s="469">
        <v>518828</v>
      </c>
      <c r="X58" s="469">
        <v>406789</v>
      </c>
      <c r="Y58" s="471">
        <v>261926</v>
      </c>
      <c r="Z58" s="470">
        <v>218450</v>
      </c>
      <c r="AA58" s="470">
        <v>113364</v>
      </c>
      <c r="AB58" s="472">
        <v>10734</v>
      </c>
      <c r="AC58" s="470">
        <v>270667</v>
      </c>
      <c r="AD58" s="470">
        <f t="shared" si="0"/>
        <v>50686</v>
      </c>
      <c r="AE58" s="470">
        <v>219981</v>
      </c>
      <c r="AF58" s="470">
        <v>104419</v>
      </c>
      <c r="AG58" s="470">
        <v>115562</v>
      </c>
      <c r="AH58" s="470">
        <v>105160</v>
      </c>
      <c r="AI58" s="470">
        <v>10402</v>
      </c>
      <c r="AJ58" s="469">
        <v>394452</v>
      </c>
      <c r="AK58" s="469">
        <v>-143541</v>
      </c>
      <c r="AL58" s="469">
        <v>537993</v>
      </c>
      <c r="AM58" s="469">
        <v>428724</v>
      </c>
      <c r="AN58" s="469">
        <v>109269</v>
      </c>
      <c r="AO58" s="469">
        <f t="shared" si="1"/>
        <v>486939</v>
      </c>
      <c r="AP58" s="469">
        <v>51054</v>
      </c>
      <c r="AQ58" s="470">
        <v>445790</v>
      </c>
      <c r="AR58" s="470">
        <v>66486</v>
      </c>
      <c r="AS58" s="470">
        <v>379304</v>
      </c>
      <c r="AT58" s="470">
        <v>57140</v>
      </c>
      <c r="AU58" s="470">
        <v>322164</v>
      </c>
      <c r="AV58" s="470">
        <v>56679</v>
      </c>
      <c r="AW58" s="470">
        <v>265485</v>
      </c>
      <c r="AX58" s="432"/>
      <c r="AY58" s="432"/>
      <c r="AZ58" s="432"/>
    </row>
    <row r="59" spans="1:52" s="400" customFormat="1">
      <c r="A59" s="461" t="s">
        <v>110</v>
      </c>
      <c r="B59" s="462" t="s">
        <v>349</v>
      </c>
      <c r="C59" s="463">
        <v>-28518</v>
      </c>
      <c r="D59" s="432">
        <v>-62019</v>
      </c>
      <c r="E59" s="432">
        <v>-55875</v>
      </c>
      <c r="F59" s="432">
        <v>-16620</v>
      </c>
      <c r="G59" s="432">
        <v>-8529</v>
      </c>
      <c r="H59" s="432">
        <v>-35861</v>
      </c>
      <c r="I59" s="432">
        <v>-28913</v>
      </c>
      <c r="J59" s="432">
        <v>-17005</v>
      </c>
      <c r="K59" s="432">
        <v>-8976</v>
      </c>
      <c r="L59" s="432">
        <v>-32273</v>
      </c>
      <c r="M59" s="432">
        <v>-22740</v>
      </c>
      <c r="N59" s="432">
        <v>-14960</v>
      </c>
      <c r="O59" s="432">
        <v>-8667</v>
      </c>
      <c r="P59" s="444"/>
      <c r="Q59" s="430">
        <v>-24905</v>
      </c>
      <c r="R59" s="430">
        <v>-15159</v>
      </c>
      <c r="S59" s="430">
        <v>-10166</v>
      </c>
      <c r="T59" s="430">
        <v>-6058</v>
      </c>
      <c r="U59" s="432">
        <v>-33526</v>
      </c>
      <c r="V59" s="432">
        <v>-24860</v>
      </c>
      <c r="W59" s="432">
        <v>-17020</v>
      </c>
      <c r="X59" s="432">
        <v>-6523</v>
      </c>
      <c r="Y59" s="464">
        <v>-25001</v>
      </c>
      <c r="Z59" s="430">
        <v>-19352</v>
      </c>
      <c r="AA59" s="430">
        <v>-10868</v>
      </c>
      <c r="AB59" s="465">
        <v>-4325</v>
      </c>
      <c r="AC59" s="430">
        <v>-25017</v>
      </c>
      <c r="AD59" s="430">
        <f t="shared" si="0"/>
        <v>-5655</v>
      </c>
      <c r="AE59" s="430">
        <v>-19362</v>
      </c>
      <c r="AF59" s="430">
        <v>-8479</v>
      </c>
      <c r="AG59" s="430">
        <v>-10883</v>
      </c>
      <c r="AH59" s="430">
        <v>-6563</v>
      </c>
      <c r="AI59" s="430">
        <v>-4320</v>
      </c>
      <c r="AJ59" s="432">
        <v>-14869</v>
      </c>
      <c r="AK59" s="432">
        <v>199</v>
      </c>
      <c r="AL59" s="432">
        <v>-15068</v>
      </c>
      <c r="AM59" s="432">
        <v>-6291</v>
      </c>
      <c r="AN59" s="432">
        <v>-8777</v>
      </c>
      <c r="AO59" s="432">
        <f t="shared" si="1"/>
        <v>-11985</v>
      </c>
      <c r="AP59" s="432">
        <v>-3083</v>
      </c>
      <c r="AQ59" s="430">
        <v>-43837</v>
      </c>
      <c r="AR59" s="430">
        <v>-22659</v>
      </c>
      <c r="AS59" s="430">
        <v>-21178</v>
      </c>
      <c r="AT59" s="430">
        <v>-6899</v>
      </c>
      <c r="AU59" s="430">
        <v>-14279</v>
      </c>
      <c r="AV59" s="430">
        <v>183</v>
      </c>
      <c r="AW59" s="430">
        <v>-14462</v>
      </c>
      <c r="AX59" s="432"/>
      <c r="AY59" s="432"/>
      <c r="AZ59" s="432"/>
    </row>
    <row r="60" spans="1:52" s="400" customFormat="1">
      <c r="A60" s="482" t="s">
        <v>350</v>
      </c>
      <c r="B60" s="483" t="s">
        <v>351</v>
      </c>
      <c r="C60" s="484">
        <v>518545</v>
      </c>
      <c r="D60" s="437">
        <v>1818447</v>
      </c>
      <c r="E60" s="437">
        <v>1478561</v>
      </c>
      <c r="F60" s="437">
        <v>903469</v>
      </c>
      <c r="G60" s="437">
        <v>442926</v>
      </c>
      <c r="H60" s="437">
        <v>1402649</v>
      </c>
      <c r="I60" s="437">
        <v>1137035</v>
      </c>
      <c r="J60" s="437">
        <v>724172</v>
      </c>
      <c r="K60" s="437">
        <v>457276</v>
      </c>
      <c r="L60" s="437">
        <v>1519496</v>
      </c>
      <c r="M60" s="437">
        <v>1087070</v>
      </c>
      <c r="N60" s="437">
        <v>704551</v>
      </c>
      <c r="O60" s="437">
        <v>290675</v>
      </c>
      <c r="P60" s="444"/>
      <c r="Q60" s="435">
        <v>1448975</v>
      </c>
      <c r="R60" s="435">
        <v>1466376</v>
      </c>
      <c r="S60" s="435">
        <v>1384808</v>
      </c>
      <c r="T60" s="435">
        <v>112672</v>
      </c>
      <c r="U60" s="437">
        <v>525123</v>
      </c>
      <c r="V60" s="437">
        <v>586223</v>
      </c>
      <c r="W60" s="437">
        <v>501808</v>
      </c>
      <c r="X60" s="437">
        <v>400266</v>
      </c>
      <c r="Y60" s="485">
        <v>236925</v>
      </c>
      <c r="Z60" s="486">
        <v>199098</v>
      </c>
      <c r="AA60" s="486">
        <v>102496</v>
      </c>
      <c r="AB60" s="487">
        <v>6409</v>
      </c>
      <c r="AC60" s="435">
        <v>245650</v>
      </c>
      <c r="AD60" s="435">
        <f t="shared" si="0"/>
        <v>45031</v>
      </c>
      <c r="AE60" s="435">
        <v>200619</v>
      </c>
      <c r="AF60" s="435">
        <v>95940</v>
      </c>
      <c r="AG60" s="435">
        <v>104679</v>
      </c>
      <c r="AH60" s="435">
        <v>98597</v>
      </c>
      <c r="AI60" s="435">
        <v>6082</v>
      </c>
      <c r="AJ60" s="437">
        <v>379583</v>
      </c>
      <c r="AK60" s="437">
        <v>-143342</v>
      </c>
      <c r="AL60" s="437">
        <v>522925</v>
      </c>
      <c r="AM60" s="437">
        <v>422433</v>
      </c>
      <c r="AN60" s="437">
        <v>100492</v>
      </c>
      <c r="AO60" s="437">
        <f t="shared" si="1"/>
        <v>474954</v>
      </c>
      <c r="AP60" s="437">
        <v>47971</v>
      </c>
      <c r="AQ60" s="435">
        <v>401953</v>
      </c>
      <c r="AR60" s="435">
        <v>43827</v>
      </c>
      <c r="AS60" s="435">
        <v>358126</v>
      </c>
      <c r="AT60" s="435">
        <v>50241</v>
      </c>
      <c r="AU60" s="435">
        <v>307885</v>
      </c>
      <c r="AV60" s="435">
        <v>56862</v>
      </c>
      <c r="AW60" s="435">
        <v>251023</v>
      </c>
      <c r="AX60" s="432"/>
      <c r="AY60" s="432"/>
      <c r="AZ60" s="432"/>
    </row>
    <row r="61" spans="1:52" ht="13.5" thickBot="1">
      <c r="Y61" s="488"/>
      <c r="Z61" s="489"/>
      <c r="AA61" s="489"/>
      <c r="AB61" s="490"/>
      <c r="AG61" s="444" t="s">
        <v>457</v>
      </c>
      <c r="AX61" s="432"/>
      <c r="AY61" s="432"/>
      <c r="AZ61" s="432"/>
    </row>
    <row r="62" spans="1:52" ht="13.5" thickTop="1">
      <c r="B62" s="441"/>
      <c r="C62" s="441"/>
      <c r="D62" s="441"/>
      <c r="E62" s="441"/>
      <c r="F62" s="441"/>
      <c r="G62" s="441"/>
      <c r="H62" s="441"/>
      <c r="I62" s="441"/>
      <c r="J62" s="441"/>
      <c r="K62" s="441"/>
      <c r="L62" s="441"/>
      <c r="M62" s="441"/>
    </row>
    <row r="63" spans="1:52">
      <c r="B63" s="491"/>
      <c r="C63" s="491"/>
      <c r="D63" s="491"/>
      <c r="E63" s="491"/>
      <c r="F63" s="491"/>
      <c r="G63" s="491"/>
      <c r="H63" s="491"/>
      <c r="I63" s="491"/>
      <c r="J63" s="491"/>
      <c r="K63" s="491"/>
      <c r="L63" s="491"/>
      <c r="M63" s="491"/>
      <c r="N63" s="491"/>
      <c r="O63" s="491"/>
      <c r="P63" s="491"/>
      <c r="Q63" s="491"/>
      <c r="R63" s="491"/>
      <c r="S63" s="491"/>
      <c r="T63" s="491"/>
      <c r="U63" s="491"/>
      <c r="V63" s="491"/>
      <c r="W63" s="491"/>
      <c r="X63" s="491"/>
      <c r="Y63" s="491"/>
      <c r="Z63" s="491"/>
      <c r="AA63" s="491"/>
      <c r="AB63" s="491"/>
      <c r="AE63" s="492"/>
      <c r="AF63" s="492"/>
      <c r="AG63" s="492"/>
      <c r="AH63" s="492"/>
      <c r="AI63" s="492"/>
      <c r="AJ63" s="492"/>
      <c r="AK63" s="492"/>
      <c r="AL63" s="492"/>
      <c r="AM63" s="492"/>
      <c r="AN63" s="492"/>
      <c r="AO63" s="492"/>
      <c r="AP63" s="492"/>
      <c r="AQ63" s="492"/>
      <c r="AS63" s="492"/>
      <c r="AU63" s="492"/>
    </row>
    <row r="64" spans="1:52">
      <c r="B64" s="491"/>
      <c r="C64" s="491"/>
      <c r="D64" s="491"/>
      <c r="E64" s="491"/>
      <c r="F64" s="491"/>
      <c r="G64" s="491"/>
      <c r="H64" s="491"/>
      <c r="I64" s="491"/>
      <c r="J64" s="491"/>
      <c r="K64" s="491"/>
      <c r="L64" s="491"/>
      <c r="M64" s="491"/>
      <c r="N64" s="491"/>
      <c r="O64" s="491"/>
      <c r="P64" s="491"/>
      <c r="Q64" s="491"/>
      <c r="R64" s="491"/>
      <c r="S64" s="491"/>
      <c r="T64" s="491"/>
      <c r="U64" s="491"/>
      <c r="V64" s="491"/>
      <c r="W64" s="491"/>
      <c r="X64" s="491"/>
      <c r="Y64" s="491"/>
      <c r="Z64" s="491"/>
      <c r="AA64" s="491"/>
      <c r="AB64" s="491"/>
    </row>
    <row r="65" spans="2:28">
      <c r="B65" s="491"/>
      <c r="C65" s="491"/>
      <c r="D65" s="491"/>
      <c r="E65" s="491"/>
      <c r="F65" s="491"/>
      <c r="G65" s="491"/>
      <c r="H65" s="491"/>
      <c r="I65" s="491"/>
      <c r="J65" s="491"/>
      <c r="K65" s="491"/>
      <c r="L65" s="491"/>
      <c r="M65" s="491"/>
      <c r="N65" s="491"/>
      <c r="O65" s="491"/>
      <c r="P65" s="491"/>
      <c r="Q65" s="491"/>
      <c r="R65" s="491"/>
      <c r="S65" s="491"/>
      <c r="T65" s="491"/>
      <c r="U65" s="491"/>
      <c r="V65" s="491"/>
      <c r="W65" s="491"/>
      <c r="X65" s="491"/>
      <c r="Y65" s="491"/>
      <c r="Z65" s="491"/>
      <c r="AA65" s="491"/>
      <c r="AB65" s="491"/>
    </row>
    <row r="66" spans="2:28">
      <c r="B66" s="491"/>
      <c r="C66" s="491"/>
      <c r="D66" s="491"/>
      <c r="E66" s="491"/>
      <c r="F66" s="491"/>
      <c r="G66" s="491"/>
      <c r="H66" s="491"/>
      <c r="I66" s="491"/>
      <c r="J66" s="491"/>
      <c r="K66" s="491"/>
      <c r="L66" s="491"/>
      <c r="M66" s="491"/>
      <c r="N66" s="491"/>
      <c r="O66" s="491"/>
      <c r="P66" s="491"/>
      <c r="Q66" s="491"/>
      <c r="R66" s="491"/>
      <c r="S66" s="491"/>
      <c r="T66" s="491"/>
      <c r="U66" s="491"/>
      <c r="V66" s="491"/>
      <c r="W66" s="491"/>
      <c r="X66" s="491"/>
      <c r="Y66" s="491"/>
      <c r="Z66" s="491"/>
      <c r="AA66" s="491"/>
      <c r="AB66" s="491"/>
    </row>
    <row r="67" spans="2:28">
      <c r="B67" s="491"/>
      <c r="C67" s="491"/>
      <c r="D67" s="491"/>
      <c r="E67" s="491"/>
      <c r="F67" s="491"/>
      <c r="G67" s="491"/>
      <c r="H67" s="491"/>
      <c r="I67" s="491"/>
      <c r="J67" s="491"/>
      <c r="K67" s="491"/>
      <c r="L67" s="491"/>
      <c r="M67" s="491"/>
      <c r="N67" s="491"/>
      <c r="O67" s="491"/>
      <c r="P67" s="491"/>
      <c r="Q67" s="491"/>
      <c r="R67" s="491"/>
      <c r="S67" s="491"/>
      <c r="T67" s="491"/>
      <c r="U67" s="491"/>
      <c r="V67" s="491"/>
      <c r="W67" s="491"/>
      <c r="X67" s="491"/>
      <c r="Y67" s="491"/>
      <c r="Z67" s="491"/>
      <c r="AA67" s="491"/>
      <c r="AB67" s="491"/>
    </row>
  </sheetData>
  <mergeCells count="3">
    <mergeCell ref="A11:B11"/>
    <mergeCell ref="B63:AB67"/>
    <mergeCell ref="Y10:AB10"/>
  </mergeCells>
  <pageMargins left="0.75" right="0.75" top="1" bottom="1" header="0.5" footer="0.5"/>
  <pageSetup paperSize="9" orientation="portrait" verticalDpi="4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66FF66"/>
    <pageSetUpPr fitToPage="1"/>
  </sheetPr>
  <dimension ref="A7:H38"/>
  <sheetViews>
    <sheetView showGridLines="0" zoomScale="120" zoomScaleNormal="120" workbookViewId="0">
      <selection activeCell="J25" sqref="J25"/>
    </sheetView>
  </sheetViews>
  <sheetFormatPr defaultColWidth="29.140625" defaultRowHeight="12.75"/>
  <cols>
    <col min="1" max="1" width="6.140625" style="156" customWidth="1"/>
    <col min="2" max="2" width="49.5703125" style="136" customWidth="1"/>
    <col min="3" max="3" width="8.7109375" style="136" bestFit="1" customWidth="1"/>
    <col min="4" max="4" width="8.28515625" style="136" customWidth="1"/>
    <col min="5" max="5" width="8.7109375" style="136" bestFit="1" customWidth="1"/>
    <col min="6" max="6" width="7.85546875" style="136" customWidth="1"/>
    <col min="7" max="7" width="8.140625" style="136" customWidth="1"/>
    <col min="8" max="8" width="5.85546875" style="136" customWidth="1"/>
    <col min="9" max="9" width="4" style="136" customWidth="1"/>
    <col min="10" max="16384" width="29.140625" style="136"/>
  </cols>
  <sheetData>
    <row r="7" spans="1:8" ht="12.75" customHeight="1">
      <c r="A7" s="135" t="s">
        <v>455</v>
      </c>
      <c r="B7" s="134"/>
      <c r="C7" s="134"/>
      <c r="D7" s="134"/>
      <c r="E7" s="134"/>
      <c r="F7" s="134"/>
    </row>
    <row r="8" spans="1:8" ht="12.75" customHeight="1">
      <c r="A8" s="137"/>
      <c r="B8" s="137"/>
      <c r="C8" s="137"/>
      <c r="D8" s="137"/>
      <c r="E8" s="137"/>
      <c r="F8" s="137"/>
    </row>
    <row r="9" spans="1:8" ht="15" customHeight="1" thickBot="1">
      <c r="A9" s="232" t="s">
        <v>451</v>
      </c>
      <c r="B9" s="232"/>
      <c r="C9" s="232"/>
      <c r="D9" s="232"/>
      <c r="E9" s="232"/>
      <c r="F9" s="232"/>
      <c r="G9" s="232"/>
      <c r="H9" s="232"/>
    </row>
    <row r="10" spans="1:8" s="142" customFormat="1" ht="26.25" customHeight="1" thickBot="1">
      <c r="A10" s="233" t="s">
        <v>187</v>
      </c>
      <c r="B10" s="233"/>
      <c r="C10" s="138" t="s">
        <v>478</v>
      </c>
      <c r="D10" s="138" t="s">
        <v>456</v>
      </c>
      <c r="E10" s="139" t="s">
        <v>479</v>
      </c>
      <c r="F10" s="140" t="s">
        <v>304</v>
      </c>
      <c r="G10" s="141" t="s">
        <v>452</v>
      </c>
      <c r="H10" s="141" t="s">
        <v>453</v>
      </c>
    </row>
    <row r="11" spans="1:8" ht="9.6" customHeight="1">
      <c r="A11" s="143" t="s">
        <v>188</v>
      </c>
      <c r="B11" s="144" t="s">
        <v>68</v>
      </c>
      <c r="C11" s="189">
        <v>1122437</v>
      </c>
      <c r="D11" s="189">
        <v>-76367</v>
      </c>
      <c r="E11" s="189">
        <f>+C11+D11</f>
        <v>1046070</v>
      </c>
      <c r="F11" s="162">
        <v>1124479</v>
      </c>
      <c r="G11" s="190">
        <f>E11-F11</f>
        <v>-78409</v>
      </c>
      <c r="H11" s="191">
        <f>IF(F11=0,"n.s.",IF(G11/F11*100&gt;=1000,"--",ROUND(G11/F11*100,2)))</f>
        <v>-6.97</v>
      </c>
    </row>
    <row r="12" spans="1:8" ht="9.6" customHeight="1">
      <c r="A12" s="145" t="s">
        <v>189</v>
      </c>
      <c r="B12" s="146" t="s">
        <v>71</v>
      </c>
      <c r="C12" s="192">
        <v>776265</v>
      </c>
      <c r="D12" s="192">
        <v>0</v>
      </c>
      <c r="E12" s="192">
        <f t="shared" ref="E12:E36" si="0">+C12+D12</f>
        <v>776265</v>
      </c>
      <c r="F12" s="166">
        <v>740628</v>
      </c>
      <c r="G12" s="193">
        <f t="shared" ref="G12:G36" si="1">E12-F12</f>
        <v>35637</v>
      </c>
      <c r="H12" s="194">
        <f t="shared" ref="H12:H36" si="2">IF(F12=0,"n.s.",IF(G12/F12*100&gt;=1000,"--",ROUND(G12/F12*100,2)))</f>
        <v>4.8099999999999996</v>
      </c>
    </row>
    <row r="13" spans="1:8" ht="9.6" customHeight="1">
      <c r="A13" s="145" t="s">
        <v>190</v>
      </c>
      <c r="B13" s="146" t="s">
        <v>205</v>
      </c>
      <c r="C13" s="192">
        <v>34339</v>
      </c>
      <c r="D13" s="192">
        <v>0</v>
      </c>
      <c r="E13" s="192">
        <f t="shared" si="0"/>
        <v>34339</v>
      </c>
      <c r="F13" s="166">
        <v>12416</v>
      </c>
      <c r="G13" s="193">
        <f t="shared" si="1"/>
        <v>21923</v>
      </c>
      <c r="H13" s="194">
        <f t="shared" si="2"/>
        <v>176.57</v>
      </c>
    </row>
    <row r="14" spans="1:8" ht="9" customHeight="1">
      <c r="A14" s="147" t="s">
        <v>191</v>
      </c>
      <c r="B14" s="146" t="s">
        <v>206</v>
      </c>
      <c r="C14" s="192">
        <v>104022</v>
      </c>
      <c r="D14" s="192">
        <v>0</v>
      </c>
      <c r="E14" s="192">
        <f t="shared" si="0"/>
        <v>104022</v>
      </c>
      <c r="F14" s="166">
        <v>103134</v>
      </c>
      <c r="G14" s="193">
        <f t="shared" si="1"/>
        <v>888</v>
      </c>
      <c r="H14" s="194">
        <f t="shared" si="2"/>
        <v>0.86</v>
      </c>
    </row>
    <row r="15" spans="1:8" ht="9" customHeight="1">
      <c r="A15" s="145" t="s">
        <v>443</v>
      </c>
      <c r="B15" s="146" t="s">
        <v>90</v>
      </c>
      <c r="C15" s="192">
        <v>44209</v>
      </c>
      <c r="D15" s="192">
        <v>0</v>
      </c>
      <c r="E15" s="192">
        <f t="shared" si="0"/>
        <v>44209</v>
      </c>
      <c r="F15" s="166">
        <v>58190</v>
      </c>
      <c r="G15" s="193">
        <f t="shared" si="1"/>
        <v>-13981</v>
      </c>
      <c r="H15" s="194">
        <f t="shared" si="2"/>
        <v>-24.03</v>
      </c>
    </row>
    <row r="16" spans="1:8" ht="9.6" customHeight="1">
      <c r="A16" s="148"/>
      <c r="B16" s="149" t="s">
        <v>208</v>
      </c>
      <c r="C16" s="195">
        <f>SUM(C11:C15)</f>
        <v>2081272</v>
      </c>
      <c r="D16" s="195">
        <f t="shared" ref="D16" si="3">SUM(D11:D15)</f>
        <v>-76367</v>
      </c>
      <c r="E16" s="195">
        <f t="shared" si="0"/>
        <v>2004905</v>
      </c>
      <c r="F16" s="171">
        <f>SUM(F11:F15)</f>
        <v>2038847</v>
      </c>
      <c r="G16" s="196">
        <f t="shared" si="1"/>
        <v>-33942</v>
      </c>
      <c r="H16" s="197">
        <f t="shared" si="2"/>
        <v>-1.66</v>
      </c>
    </row>
    <row r="17" spans="1:8" ht="9.6" customHeight="1">
      <c r="A17" s="145" t="s">
        <v>430</v>
      </c>
      <c r="B17" s="146" t="s">
        <v>209</v>
      </c>
      <c r="C17" s="192">
        <v>-821494</v>
      </c>
      <c r="D17" s="192">
        <v>0</v>
      </c>
      <c r="E17" s="192">
        <f>+C17+D17</f>
        <v>-821494</v>
      </c>
      <c r="F17" s="166">
        <v>-783478</v>
      </c>
      <c r="G17" s="193">
        <f t="shared" si="1"/>
        <v>-38016</v>
      </c>
      <c r="H17" s="194">
        <f t="shared" si="2"/>
        <v>4.8499999999999996</v>
      </c>
    </row>
    <row r="18" spans="1:8" ht="9" customHeight="1">
      <c r="A18" s="145" t="s">
        <v>444</v>
      </c>
      <c r="B18" s="146" t="s">
        <v>210</v>
      </c>
      <c r="C18" s="192">
        <v>-442431</v>
      </c>
      <c r="D18" s="192">
        <v>0</v>
      </c>
      <c r="E18" s="192">
        <f>+C18+D18</f>
        <v>-442431</v>
      </c>
      <c r="F18" s="166">
        <v>-425611</v>
      </c>
      <c r="G18" s="193">
        <f t="shared" si="1"/>
        <v>-16820</v>
      </c>
      <c r="H18" s="194">
        <f t="shared" si="2"/>
        <v>3.95</v>
      </c>
    </row>
    <row r="19" spans="1:8" ht="9" customHeight="1">
      <c r="A19" s="145" t="s">
        <v>432</v>
      </c>
      <c r="B19" s="146" t="s">
        <v>445</v>
      </c>
      <c r="C19" s="192">
        <v>-118939</v>
      </c>
      <c r="D19" s="192">
        <v>0</v>
      </c>
      <c r="E19" s="192">
        <f>+C19+D19</f>
        <v>-118939</v>
      </c>
      <c r="F19" s="166">
        <v>-87429</v>
      </c>
      <c r="G19" s="193">
        <f t="shared" si="1"/>
        <v>-31510</v>
      </c>
      <c r="H19" s="194">
        <f t="shared" si="2"/>
        <v>36.04</v>
      </c>
    </row>
    <row r="20" spans="1:8" ht="9" customHeight="1">
      <c r="A20" s="148"/>
      <c r="B20" s="149" t="s">
        <v>212</v>
      </c>
      <c r="C20" s="195">
        <f>SUM(C17:C19)</f>
        <v>-1382864</v>
      </c>
      <c r="D20" s="195">
        <f>SUM(D17:D19)</f>
        <v>0</v>
      </c>
      <c r="E20" s="195">
        <f t="shared" si="0"/>
        <v>-1382864</v>
      </c>
      <c r="F20" s="171">
        <f>SUM(F17:F19)</f>
        <v>-1296518</v>
      </c>
      <c r="G20" s="196">
        <f t="shared" si="1"/>
        <v>-86346</v>
      </c>
      <c r="H20" s="197">
        <f t="shared" si="2"/>
        <v>6.66</v>
      </c>
    </row>
    <row r="21" spans="1:8" ht="9" customHeight="1">
      <c r="A21" s="150"/>
      <c r="B21" s="151" t="s">
        <v>213</v>
      </c>
      <c r="C21" s="198">
        <f>+C16+C20</f>
        <v>698408</v>
      </c>
      <c r="D21" s="198">
        <f>+D16+D20</f>
        <v>-76367</v>
      </c>
      <c r="E21" s="198">
        <f t="shared" si="0"/>
        <v>622041</v>
      </c>
      <c r="F21" s="176">
        <f>+F16+F20</f>
        <v>742329</v>
      </c>
      <c r="G21" s="199">
        <f t="shared" si="1"/>
        <v>-120288</v>
      </c>
      <c r="H21" s="200">
        <f t="shared" si="2"/>
        <v>-16.2</v>
      </c>
    </row>
    <row r="22" spans="1:8" ht="9" customHeight="1">
      <c r="A22" s="145" t="s">
        <v>194</v>
      </c>
      <c r="B22" s="146" t="s">
        <v>469</v>
      </c>
      <c r="C22" s="192">
        <v>-225772</v>
      </c>
      <c r="D22" s="192">
        <v>73411</v>
      </c>
      <c r="E22" s="192">
        <f t="shared" si="0"/>
        <v>-152361</v>
      </c>
      <c r="F22" s="166">
        <v>-535975</v>
      </c>
      <c r="G22" s="193">
        <f t="shared" si="1"/>
        <v>383614</v>
      </c>
      <c r="H22" s="194">
        <f t="shared" si="2"/>
        <v>-71.569999999999993</v>
      </c>
    </row>
    <row r="23" spans="1:8">
      <c r="A23" s="145" t="s">
        <v>434</v>
      </c>
      <c r="B23" s="146" t="s">
        <v>470</v>
      </c>
      <c r="C23" s="192">
        <v>2066</v>
      </c>
      <c r="D23" s="192">
        <v>0</v>
      </c>
      <c r="E23" s="192">
        <f t="shared" si="0"/>
        <v>2066</v>
      </c>
      <c r="F23" s="166">
        <v>-104628</v>
      </c>
      <c r="G23" s="193">
        <f t="shared" si="1"/>
        <v>106694</v>
      </c>
      <c r="H23" s="194">
        <f t="shared" si="2"/>
        <v>-101.97</v>
      </c>
    </row>
    <row r="24" spans="1:8">
      <c r="A24" s="145"/>
      <c r="B24" s="146" t="s">
        <v>446</v>
      </c>
      <c r="C24" s="192">
        <v>0</v>
      </c>
      <c r="D24" s="192">
        <v>16197</v>
      </c>
      <c r="E24" s="192">
        <f t="shared" si="0"/>
        <v>16197</v>
      </c>
      <c r="F24" s="166">
        <v>-15313</v>
      </c>
      <c r="G24" s="193">
        <f t="shared" si="1"/>
        <v>31510</v>
      </c>
      <c r="H24" s="194">
        <f t="shared" si="2"/>
        <v>-205.77</v>
      </c>
    </row>
    <row r="25" spans="1:8">
      <c r="A25" s="145" t="s">
        <v>454</v>
      </c>
      <c r="B25" s="146" t="s">
        <v>327</v>
      </c>
      <c r="C25" s="192">
        <v>-2956</v>
      </c>
      <c r="D25" s="192">
        <v>2956</v>
      </c>
      <c r="E25" s="192">
        <f t="shared" si="0"/>
        <v>0</v>
      </c>
      <c r="F25" s="166">
        <v>0</v>
      </c>
      <c r="G25" s="193">
        <f t="shared" si="1"/>
        <v>0</v>
      </c>
      <c r="H25" s="194" t="str">
        <f t="shared" si="2"/>
        <v>n.s.</v>
      </c>
    </row>
    <row r="26" spans="1:8" ht="9" customHeight="1">
      <c r="A26" s="148"/>
      <c r="B26" s="149" t="s">
        <v>471</v>
      </c>
      <c r="C26" s="195">
        <f>SUM(C22:C25)</f>
        <v>-226662</v>
      </c>
      <c r="D26" s="195">
        <f>SUM(D22:D25)</f>
        <v>92564</v>
      </c>
      <c r="E26" s="195">
        <f t="shared" si="0"/>
        <v>-134098</v>
      </c>
      <c r="F26" s="171">
        <f>SUM(F22:F25)</f>
        <v>-655916</v>
      </c>
      <c r="G26" s="196">
        <f t="shared" si="1"/>
        <v>521818</v>
      </c>
      <c r="H26" s="197">
        <f t="shared" si="2"/>
        <v>-79.56</v>
      </c>
    </row>
    <row r="27" spans="1:8" ht="9" customHeight="1">
      <c r="A27" s="152" t="s">
        <v>447</v>
      </c>
      <c r="B27" s="153" t="s">
        <v>87</v>
      </c>
      <c r="C27" s="201">
        <v>-25194</v>
      </c>
      <c r="D27" s="201">
        <v>-16197</v>
      </c>
      <c r="E27" s="201">
        <f t="shared" si="0"/>
        <v>-41391</v>
      </c>
      <c r="F27" s="181">
        <v>-30578</v>
      </c>
      <c r="G27" s="193">
        <f t="shared" si="1"/>
        <v>-10813</v>
      </c>
      <c r="H27" s="194">
        <f t="shared" si="2"/>
        <v>35.36</v>
      </c>
    </row>
    <row r="28" spans="1:8" ht="9" customHeight="1">
      <c r="A28" s="154" t="s">
        <v>235</v>
      </c>
      <c r="B28" s="146" t="s">
        <v>448</v>
      </c>
      <c r="C28" s="192">
        <v>-52325</v>
      </c>
      <c r="D28" s="192">
        <v>0</v>
      </c>
      <c r="E28" s="192">
        <f t="shared" si="0"/>
        <v>-52325</v>
      </c>
      <c r="F28" s="166">
        <v>-37721</v>
      </c>
      <c r="G28" s="193">
        <f t="shared" si="1"/>
        <v>-14604</v>
      </c>
      <c r="H28" s="194">
        <f t="shared" si="2"/>
        <v>38.72</v>
      </c>
    </row>
    <row r="29" spans="1:8" ht="18.75">
      <c r="A29" s="147" t="s">
        <v>449</v>
      </c>
      <c r="B29" s="146" t="s">
        <v>437</v>
      </c>
      <c r="C29" s="192">
        <v>-48701</v>
      </c>
      <c r="D29" s="192">
        <v>0</v>
      </c>
      <c r="E29" s="192">
        <f t="shared" si="0"/>
        <v>-48701</v>
      </c>
      <c r="F29" s="166">
        <v>-9886</v>
      </c>
      <c r="G29" s="193">
        <f t="shared" si="1"/>
        <v>-38815</v>
      </c>
      <c r="H29" s="194">
        <f t="shared" si="2"/>
        <v>392.63</v>
      </c>
    </row>
    <row r="30" spans="1:8" ht="9" customHeight="1">
      <c r="A30" s="147"/>
      <c r="B30" s="146" t="s">
        <v>306</v>
      </c>
      <c r="C30" s="192">
        <v>0</v>
      </c>
      <c r="D30" s="192">
        <v>0</v>
      </c>
      <c r="E30" s="192">
        <f t="shared" si="0"/>
        <v>0</v>
      </c>
      <c r="F30" s="166">
        <v>190892</v>
      </c>
      <c r="G30" s="193">
        <f t="shared" si="1"/>
        <v>-190892</v>
      </c>
      <c r="H30" s="194">
        <f t="shared" si="2"/>
        <v>-100</v>
      </c>
    </row>
    <row r="31" spans="1:8" ht="9" customHeight="1">
      <c r="A31" s="148">
        <v>290</v>
      </c>
      <c r="B31" s="149" t="s">
        <v>438</v>
      </c>
      <c r="C31" s="195">
        <f>+C21+SUM(C26:C30)</f>
        <v>345526</v>
      </c>
      <c r="D31" s="195">
        <f>+D21+SUM(D26:D30)</f>
        <v>0</v>
      </c>
      <c r="E31" s="195">
        <f t="shared" si="0"/>
        <v>345526</v>
      </c>
      <c r="F31" s="171">
        <f>+F21+SUM(F26:F30)</f>
        <v>199120</v>
      </c>
      <c r="G31" s="196">
        <f t="shared" si="1"/>
        <v>146406</v>
      </c>
      <c r="H31" s="197">
        <f t="shared" si="2"/>
        <v>73.53</v>
      </c>
    </row>
    <row r="32" spans="1:8" ht="12" customHeight="1">
      <c r="A32" s="145" t="s">
        <v>439</v>
      </c>
      <c r="B32" s="146" t="s">
        <v>440</v>
      </c>
      <c r="C32" s="192">
        <v>100264</v>
      </c>
      <c r="D32" s="192">
        <v>0</v>
      </c>
      <c r="E32" s="192">
        <f t="shared" si="0"/>
        <v>100264</v>
      </c>
      <c r="F32" s="166">
        <v>-22238</v>
      </c>
      <c r="G32" s="193">
        <f t="shared" si="1"/>
        <v>122502</v>
      </c>
      <c r="H32" s="194">
        <f t="shared" si="2"/>
        <v>-550.87</v>
      </c>
    </row>
    <row r="33" spans="1:8" ht="9" hidden="1" customHeight="1">
      <c r="A33" s="155" t="s">
        <v>199</v>
      </c>
      <c r="B33" s="132" t="s">
        <v>106</v>
      </c>
      <c r="C33" s="202"/>
      <c r="D33" s="202">
        <v>0</v>
      </c>
      <c r="E33" s="202">
        <f t="shared" si="0"/>
        <v>0</v>
      </c>
      <c r="F33" s="187"/>
      <c r="G33" s="193">
        <f t="shared" si="1"/>
        <v>0</v>
      </c>
      <c r="H33" s="194" t="str">
        <f t="shared" si="2"/>
        <v>n.s.</v>
      </c>
    </row>
    <row r="34" spans="1:8" ht="9" customHeight="1">
      <c r="A34" s="148">
        <v>330</v>
      </c>
      <c r="B34" s="149" t="s">
        <v>222</v>
      </c>
      <c r="C34" s="195">
        <f>+C31+C32</f>
        <v>445790</v>
      </c>
      <c r="D34" s="195">
        <f>+D31+D32</f>
        <v>0</v>
      </c>
      <c r="E34" s="195">
        <f t="shared" si="0"/>
        <v>445790</v>
      </c>
      <c r="F34" s="171">
        <f>+F31+F32</f>
        <v>176882</v>
      </c>
      <c r="G34" s="196">
        <f t="shared" si="1"/>
        <v>268908</v>
      </c>
      <c r="H34" s="197">
        <f t="shared" si="2"/>
        <v>152.03</v>
      </c>
    </row>
    <row r="35" spans="1:8" ht="9" customHeight="1">
      <c r="A35" s="152" t="s">
        <v>202</v>
      </c>
      <c r="B35" s="153" t="s">
        <v>450</v>
      </c>
      <c r="C35" s="201">
        <v>-43837</v>
      </c>
      <c r="D35" s="201">
        <v>0</v>
      </c>
      <c r="E35" s="201">
        <f t="shared" si="0"/>
        <v>-43837</v>
      </c>
      <c r="F35" s="181">
        <v>-444</v>
      </c>
      <c r="G35" s="203">
        <f t="shared" si="1"/>
        <v>-43393</v>
      </c>
      <c r="H35" s="204" t="s">
        <v>467</v>
      </c>
    </row>
    <row r="36" spans="1:8" ht="12" customHeight="1">
      <c r="A36" s="148">
        <v>350</v>
      </c>
      <c r="B36" s="149" t="s">
        <v>224</v>
      </c>
      <c r="C36" s="195">
        <f>+C34+C35</f>
        <v>401953</v>
      </c>
      <c r="D36" s="195">
        <f>+D34-D35</f>
        <v>0</v>
      </c>
      <c r="E36" s="195">
        <f t="shared" si="0"/>
        <v>401953</v>
      </c>
      <c r="F36" s="171">
        <f>+F34+F35</f>
        <v>176438</v>
      </c>
      <c r="G36" s="196">
        <f t="shared" si="1"/>
        <v>225515</v>
      </c>
      <c r="H36" s="197">
        <f t="shared" si="2"/>
        <v>127.82</v>
      </c>
    </row>
    <row r="38" spans="1:8">
      <c r="A38" s="136"/>
    </row>
  </sheetData>
  <mergeCells count="2">
    <mergeCell ref="A9:H9"/>
    <mergeCell ref="A10:B10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8:L38"/>
  <sheetViews>
    <sheetView zoomScale="84" zoomScaleNormal="84" workbookViewId="0">
      <selection activeCell="I47" sqref="I47"/>
    </sheetView>
  </sheetViews>
  <sheetFormatPr defaultColWidth="36.28515625" defaultRowHeight="12.75"/>
  <cols>
    <col min="1" max="1" width="14.42578125" style="82" customWidth="1"/>
    <col min="2" max="2" width="50.5703125" style="82" customWidth="1"/>
    <col min="3" max="3" width="14.85546875" style="82" customWidth="1"/>
    <col min="4" max="6" width="12" style="82" customWidth="1"/>
    <col min="7" max="7" width="12.7109375" style="82" bestFit="1" customWidth="1"/>
    <col min="8" max="10" width="13" style="82" bestFit="1" customWidth="1"/>
    <col min="11" max="16384" width="36.28515625" style="82"/>
  </cols>
  <sheetData>
    <row r="8" spans="1:10" ht="18.75">
      <c r="A8" s="133" t="s">
        <v>462</v>
      </c>
      <c r="B8" s="133"/>
      <c r="C8" s="133"/>
      <c r="D8" s="133"/>
      <c r="E8" s="133"/>
      <c r="F8" s="133"/>
      <c r="G8" s="133"/>
      <c r="H8" s="133"/>
    </row>
    <row r="12" spans="1:10" ht="13.5" thickBot="1"/>
    <row r="13" spans="1:10" ht="27.75" thickBot="1">
      <c r="A13" s="234" t="s">
        <v>187</v>
      </c>
      <c r="B13" s="234"/>
      <c r="C13" s="157" t="s">
        <v>441</v>
      </c>
      <c r="D13" s="157" t="s">
        <v>442</v>
      </c>
      <c r="E13" s="157" t="s">
        <v>468</v>
      </c>
      <c r="F13" s="157" t="s">
        <v>477</v>
      </c>
      <c r="G13" s="158" t="s">
        <v>429</v>
      </c>
      <c r="H13" s="158" t="s">
        <v>300</v>
      </c>
      <c r="I13" s="158" t="s">
        <v>303</v>
      </c>
      <c r="J13" s="158" t="s">
        <v>307</v>
      </c>
    </row>
    <row r="14" spans="1:10">
      <c r="A14" s="159" t="s">
        <v>188</v>
      </c>
      <c r="B14" s="160" t="s">
        <v>68</v>
      </c>
      <c r="C14" s="161">
        <v>267597</v>
      </c>
      <c r="D14" s="161">
        <v>259511</v>
      </c>
      <c r="E14" s="161">
        <v>259014</v>
      </c>
      <c r="F14" s="161">
        <v>259948</v>
      </c>
      <c r="G14" s="162">
        <v>288114</v>
      </c>
      <c r="H14" s="162">
        <v>282005</v>
      </c>
      <c r="I14" s="162">
        <v>280218</v>
      </c>
      <c r="J14" s="162">
        <v>274142</v>
      </c>
    </row>
    <row r="15" spans="1:10">
      <c r="A15" s="163" t="s">
        <v>189</v>
      </c>
      <c r="B15" s="164" t="s">
        <v>71</v>
      </c>
      <c r="C15" s="165">
        <v>198120</v>
      </c>
      <c r="D15" s="165">
        <v>190936</v>
      </c>
      <c r="E15" s="165">
        <v>188025</v>
      </c>
      <c r="F15" s="165">
        <v>199184</v>
      </c>
      <c r="G15" s="166">
        <v>177373</v>
      </c>
      <c r="H15" s="166">
        <v>181851</v>
      </c>
      <c r="I15" s="166">
        <v>184802</v>
      </c>
      <c r="J15" s="166">
        <v>196602</v>
      </c>
    </row>
    <row r="16" spans="1:10">
      <c r="A16" s="163" t="s">
        <v>190</v>
      </c>
      <c r="B16" s="164" t="s">
        <v>205</v>
      </c>
      <c r="C16" s="165">
        <v>584</v>
      </c>
      <c r="D16" s="165">
        <v>12877</v>
      </c>
      <c r="E16" s="165">
        <v>325</v>
      </c>
      <c r="F16" s="165">
        <v>20553</v>
      </c>
      <c r="G16" s="166">
        <v>312</v>
      </c>
      <c r="H16" s="166">
        <v>10812</v>
      </c>
      <c r="I16" s="166">
        <v>507</v>
      </c>
      <c r="J16" s="166">
        <v>785</v>
      </c>
    </row>
    <row r="17" spans="1:10">
      <c r="A17" s="167" t="s">
        <v>191</v>
      </c>
      <c r="B17" s="164" t="s">
        <v>206</v>
      </c>
      <c r="C17" s="165">
        <v>153634</v>
      </c>
      <c r="D17" s="165">
        <v>16431</v>
      </c>
      <c r="E17" s="165">
        <v>20879</v>
      </c>
      <c r="F17" s="165">
        <v>-86922</v>
      </c>
      <c r="G17" s="166">
        <v>24664</v>
      </c>
      <c r="H17" s="166">
        <v>25869</v>
      </c>
      <c r="I17" s="166">
        <v>20489</v>
      </c>
      <c r="J17" s="166">
        <v>32112</v>
      </c>
    </row>
    <row r="18" spans="1:10">
      <c r="A18" s="163" t="s">
        <v>443</v>
      </c>
      <c r="B18" s="164" t="s">
        <v>90</v>
      </c>
      <c r="C18" s="165">
        <v>11485</v>
      </c>
      <c r="D18" s="165">
        <v>8174</v>
      </c>
      <c r="E18" s="165">
        <v>10998</v>
      </c>
      <c r="F18" s="165">
        <v>13552</v>
      </c>
      <c r="G18" s="166">
        <v>10310</v>
      </c>
      <c r="H18" s="166">
        <v>14298</v>
      </c>
      <c r="I18" s="166">
        <v>23565</v>
      </c>
      <c r="J18" s="166">
        <v>10017</v>
      </c>
    </row>
    <row r="19" spans="1:10">
      <c r="A19" s="168"/>
      <c r="B19" s="169" t="s">
        <v>208</v>
      </c>
      <c r="C19" s="170">
        <v>631420</v>
      </c>
      <c r="D19" s="170">
        <v>487929</v>
      </c>
      <c r="E19" s="170">
        <v>479241</v>
      </c>
      <c r="F19" s="170">
        <f>SUM(F14:F18)</f>
        <v>406315</v>
      </c>
      <c r="G19" s="171">
        <v>500773</v>
      </c>
      <c r="H19" s="171">
        <v>514835</v>
      </c>
      <c r="I19" s="171">
        <v>509581</v>
      </c>
      <c r="J19" s="171">
        <v>513658</v>
      </c>
    </row>
    <row r="20" spans="1:10">
      <c r="A20" s="163" t="s">
        <v>430</v>
      </c>
      <c r="B20" s="164" t="s">
        <v>209</v>
      </c>
      <c r="C20" s="165">
        <v>-207534</v>
      </c>
      <c r="D20" s="165">
        <v>-212900</v>
      </c>
      <c r="E20" s="165">
        <v>-194553</v>
      </c>
      <c r="F20" s="165">
        <v>-206507</v>
      </c>
      <c r="G20" s="166">
        <v>-194125</v>
      </c>
      <c r="H20" s="166">
        <v>-191551</v>
      </c>
      <c r="I20" s="166">
        <v>-191656</v>
      </c>
      <c r="J20" s="166">
        <v>-206146</v>
      </c>
    </row>
    <row r="21" spans="1:10">
      <c r="A21" s="163" t="s">
        <v>444</v>
      </c>
      <c r="B21" s="164" t="s">
        <v>210</v>
      </c>
      <c r="C21" s="165">
        <v>-102285</v>
      </c>
      <c r="D21" s="165">
        <v>-109981</v>
      </c>
      <c r="E21" s="165">
        <v>-104323</v>
      </c>
      <c r="F21" s="165">
        <v>-125842</v>
      </c>
      <c r="G21" s="166">
        <v>-96628</v>
      </c>
      <c r="H21" s="166">
        <v>-104864</v>
      </c>
      <c r="I21" s="166">
        <v>-107465</v>
      </c>
      <c r="J21" s="166">
        <v>-116654</v>
      </c>
    </row>
    <row r="22" spans="1:10">
      <c r="A22" s="172" t="s">
        <v>432</v>
      </c>
      <c r="B22" s="164" t="s">
        <v>445</v>
      </c>
      <c r="C22" s="165">
        <v>-21339</v>
      </c>
      <c r="D22" s="165">
        <v>-34986</v>
      </c>
      <c r="E22" s="165">
        <v>-22933</v>
      </c>
      <c r="F22" s="165">
        <v>-39681</v>
      </c>
      <c r="G22" s="166">
        <v>-18685</v>
      </c>
      <c r="H22" s="166">
        <v>-22012</v>
      </c>
      <c r="I22" s="166">
        <v>-20653</v>
      </c>
      <c r="J22" s="166">
        <v>-26079</v>
      </c>
    </row>
    <row r="23" spans="1:10">
      <c r="A23" s="168"/>
      <c r="B23" s="169" t="s">
        <v>212</v>
      </c>
      <c r="C23" s="170">
        <v>-331158</v>
      </c>
      <c r="D23" s="170">
        <v>-357867</v>
      </c>
      <c r="E23" s="170">
        <v>-321809</v>
      </c>
      <c r="F23" s="170">
        <f>SUM(F20:F22)</f>
        <v>-372030</v>
      </c>
      <c r="G23" s="171">
        <v>-309438</v>
      </c>
      <c r="H23" s="171">
        <v>-318427</v>
      </c>
      <c r="I23" s="171">
        <v>-319774</v>
      </c>
      <c r="J23" s="171">
        <v>-348879</v>
      </c>
    </row>
    <row r="24" spans="1:10">
      <c r="A24" s="173"/>
      <c r="B24" s="174" t="s">
        <v>213</v>
      </c>
      <c r="C24" s="175">
        <v>300262</v>
      </c>
      <c r="D24" s="175">
        <v>130062</v>
      </c>
      <c r="E24" s="175">
        <v>157432</v>
      </c>
      <c r="F24" s="175">
        <f>+F19+F23</f>
        <v>34285</v>
      </c>
      <c r="G24" s="176">
        <v>191335</v>
      </c>
      <c r="H24" s="176">
        <v>196408</v>
      </c>
      <c r="I24" s="176">
        <v>189807</v>
      </c>
      <c r="J24" s="176">
        <v>164779</v>
      </c>
    </row>
    <row r="25" spans="1:10">
      <c r="A25" s="177" t="s">
        <v>194</v>
      </c>
      <c r="B25" s="164" t="s">
        <v>469</v>
      </c>
      <c r="C25" s="165">
        <v>-504</v>
      </c>
      <c r="D25" s="165">
        <v>-39219</v>
      </c>
      <c r="E25" s="165">
        <v>-54232</v>
      </c>
      <c r="F25" s="165">
        <v>-58406</v>
      </c>
      <c r="G25" s="166">
        <v>-133573</v>
      </c>
      <c r="H25" s="166">
        <v>-189659</v>
      </c>
      <c r="I25" s="166">
        <v>-89722</v>
      </c>
      <c r="J25" s="166">
        <v>-123021</v>
      </c>
    </row>
    <row r="26" spans="1:10">
      <c r="A26" s="177" t="s">
        <v>434</v>
      </c>
      <c r="B26" s="164" t="s">
        <v>470</v>
      </c>
      <c r="C26" s="165">
        <v>1763</v>
      </c>
      <c r="D26" s="165">
        <v>141</v>
      </c>
      <c r="E26" s="165">
        <v>150</v>
      </c>
      <c r="F26" s="165">
        <v>12</v>
      </c>
      <c r="G26" s="166">
        <v>-17381</v>
      </c>
      <c r="H26" s="166">
        <v>-54236</v>
      </c>
      <c r="I26" s="166">
        <v>-29383</v>
      </c>
      <c r="J26" s="166">
        <v>-3628</v>
      </c>
    </row>
    <row r="27" spans="1:10">
      <c r="A27" s="172"/>
      <c r="B27" s="164" t="s">
        <v>446</v>
      </c>
      <c r="C27" s="165">
        <v>13964</v>
      </c>
      <c r="D27" s="165">
        <v>-2041</v>
      </c>
      <c r="E27" s="165">
        <v>6920</v>
      </c>
      <c r="F27" s="165">
        <v>-2646</v>
      </c>
      <c r="G27" s="166">
        <v>4647</v>
      </c>
      <c r="H27" s="166">
        <v>1787</v>
      </c>
      <c r="I27" s="166">
        <v>6446</v>
      </c>
      <c r="J27" s="166">
        <v>-28193</v>
      </c>
    </row>
    <row r="28" spans="1:10">
      <c r="A28" s="168"/>
      <c r="B28" s="169" t="s">
        <v>471</v>
      </c>
      <c r="C28" s="170">
        <v>15223</v>
      </c>
      <c r="D28" s="170">
        <v>-41119</v>
      </c>
      <c r="E28" s="170">
        <v>-47162</v>
      </c>
      <c r="F28" s="170">
        <f>SUM(F25:F27)</f>
        <v>-61040</v>
      </c>
      <c r="G28" s="171">
        <v>-146307</v>
      </c>
      <c r="H28" s="171">
        <v>-242108</v>
      </c>
      <c r="I28" s="171">
        <v>-112659</v>
      </c>
      <c r="J28" s="171">
        <v>-154842</v>
      </c>
    </row>
    <row r="29" spans="1:10">
      <c r="A29" s="178" t="s">
        <v>447</v>
      </c>
      <c r="B29" s="179" t="s">
        <v>87</v>
      </c>
      <c r="C29" s="180">
        <v>-25627</v>
      </c>
      <c r="D29" s="180">
        <v>-23335</v>
      </c>
      <c r="E29" s="180">
        <v>-19011</v>
      </c>
      <c r="F29" s="180">
        <v>26582</v>
      </c>
      <c r="G29" s="181">
        <v>-5661</v>
      </c>
      <c r="H29" s="181">
        <v>-5941</v>
      </c>
      <c r="I29" s="181">
        <v>-9268</v>
      </c>
      <c r="J29" s="181">
        <v>-9708</v>
      </c>
    </row>
    <row r="30" spans="1:10">
      <c r="A30" s="182" t="s">
        <v>235</v>
      </c>
      <c r="B30" s="164" t="s">
        <v>448</v>
      </c>
      <c r="C30" s="165">
        <v>-20282</v>
      </c>
      <c r="D30" s="165">
        <v>-8670</v>
      </c>
      <c r="E30" s="165">
        <v>-23448</v>
      </c>
      <c r="F30" s="165">
        <v>75</v>
      </c>
      <c r="G30" s="166">
        <v>-18061</v>
      </c>
      <c r="H30" s="166">
        <v>2114</v>
      </c>
      <c r="I30" s="166">
        <v>-20205</v>
      </c>
      <c r="J30" s="166">
        <v>-1569</v>
      </c>
    </row>
    <row r="31" spans="1:10" ht="18.75">
      <c r="A31" s="183" t="s">
        <v>449</v>
      </c>
      <c r="B31" s="164" t="s">
        <v>437</v>
      </c>
      <c r="C31" s="165">
        <v>2827</v>
      </c>
      <c r="D31" s="165">
        <v>2591</v>
      </c>
      <c r="E31" s="165">
        <v>3535</v>
      </c>
      <c r="F31" s="165">
        <v>-57654</v>
      </c>
      <c r="G31" s="166">
        <v>3705</v>
      </c>
      <c r="H31" s="166">
        <v>2843</v>
      </c>
      <c r="I31" s="166">
        <v>4885</v>
      </c>
      <c r="J31" s="166">
        <v>-21319</v>
      </c>
    </row>
    <row r="32" spans="1:10">
      <c r="A32" s="183">
        <v>285</v>
      </c>
      <c r="B32" s="164" t="s">
        <v>306</v>
      </c>
      <c r="C32" s="165">
        <v>0</v>
      </c>
      <c r="D32" s="165">
        <v>0</v>
      </c>
      <c r="E32" s="165">
        <v>0</v>
      </c>
      <c r="F32" s="165">
        <v>0</v>
      </c>
      <c r="G32" s="166">
        <v>0</v>
      </c>
      <c r="H32" s="166">
        <v>130722</v>
      </c>
      <c r="I32" s="166">
        <v>0</v>
      </c>
      <c r="J32" s="166">
        <v>60170</v>
      </c>
    </row>
    <row r="33" spans="1:12">
      <c r="A33" s="168">
        <v>290</v>
      </c>
      <c r="B33" s="169" t="s">
        <v>438</v>
      </c>
      <c r="C33" s="170">
        <v>272403</v>
      </c>
      <c r="D33" s="170">
        <v>59529</v>
      </c>
      <c r="E33" s="170">
        <v>71346</v>
      </c>
      <c r="F33" s="170">
        <f>+F24+F28+SUM(F29:F32)</f>
        <v>-57752</v>
      </c>
      <c r="G33" s="171">
        <v>25011</v>
      </c>
      <c r="H33" s="171">
        <v>84038</v>
      </c>
      <c r="I33" s="171">
        <v>52560</v>
      </c>
      <c r="J33" s="171">
        <v>37511</v>
      </c>
    </row>
    <row r="34" spans="1:12" ht="18.75">
      <c r="A34" s="172" t="s">
        <v>439</v>
      </c>
      <c r="B34" s="164" t="s">
        <v>440</v>
      </c>
      <c r="C34" s="165">
        <v>-6918</v>
      </c>
      <c r="D34" s="165">
        <v>-2850</v>
      </c>
      <c r="E34" s="165">
        <v>-14206</v>
      </c>
      <c r="F34" s="165">
        <v>124238</v>
      </c>
      <c r="G34" s="166">
        <v>-7743</v>
      </c>
      <c r="H34" s="166">
        <v>17926</v>
      </c>
      <c r="I34" s="166">
        <v>-23696</v>
      </c>
      <c r="J34" s="166">
        <v>-8725</v>
      </c>
      <c r="L34" s="133"/>
    </row>
    <row r="35" spans="1:12" hidden="1">
      <c r="A35" s="184" t="s">
        <v>199</v>
      </c>
      <c r="B35" s="185" t="s">
        <v>106</v>
      </c>
      <c r="C35" s="186">
        <v>0</v>
      </c>
      <c r="D35" s="186">
        <v>0</v>
      </c>
      <c r="E35" s="186">
        <v>0</v>
      </c>
      <c r="F35" s="186">
        <v>0</v>
      </c>
      <c r="G35" s="187"/>
      <c r="H35" s="187"/>
      <c r="I35" s="187"/>
      <c r="J35" s="187"/>
    </row>
    <row r="36" spans="1:12">
      <c r="A36" s="168">
        <v>330</v>
      </c>
      <c r="B36" s="169" t="s">
        <v>222</v>
      </c>
      <c r="C36" s="170">
        <v>265485</v>
      </c>
      <c r="D36" s="170">
        <v>56679</v>
      </c>
      <c r="E36" s="170">
        <v>57140</v>
      </c>
      <c r="F36" s="170">
        <f>+F33+F34</f>
        <v>66486</v>
      </c>
      <c r="G36" s="171">
        <f>+G33+G34</f>
        <v>17268</v>
      </c>
      <c r="H36" s="171">
        <f t="shared" ref="H36:J36" si="0">+H33+H34</f>
        <v>101964</v>
      </c>
      <c r="I36" s="171">
        <f t="shared" si="0"/>
        <v>28864</v>
      </c>
      <c r="J36" s="171">
        <f t="shared" si="0"/>
        <v>28786</v>
      </c>
    </row>
    <row r="37" spans="1:12">
      <c r="A37" s="178" t="s">
        <v>202</v>
      </c>
      <c r="B37" s="179" t="s">
        <v>450</v>
      </c>
      <c r="C37" s="180">
        <v>-14462</v>
      </c>
      <c r="D37" s="180">
        <v>183</v>
      </c>
      <c r="E37" s="180">
        <v>-6899</v>
      </c>
      <c r="F37" s="180">
        <v>-22659</v>
      </c>
      <c r="G37" s="181">
        <v>-2710</v>
      </c>
      <c r="H37" s="181">
        <v>2540</v>
      </c>
      <c r="I37" s="181">
        <v>1032</v>
      </c>
      <c r="J37" s="181">
        <v>-1306</v>
      </c>
    </row>
    <row r="38" spans="1:12">
      <c r="A38" s="188">
        <v>350</v>
      </c>
      <c r="B38" s="169" t="s">
        <v>224</v>
      </c>
      <c r="C38" s="170">
        <v>251023</v>
      </c>
      <c r="D38" s="170">
        <v>56862</v>
      </c>
      <c r="E38" s="170">
        <v>50241</v>
      </c>
      <c r="F38" s="170">
        <f>+F36+F37</f>
        <v>43827</v>
      </c>
      <c r="G38" s="171">
        <v>14558</v>
      </c>
      <c r="H38" s="171">
        <v>104504</v>
      </c>
      <c r="I38" s="171">
        <v>29896</v>
      </c>
      <c r="J38" s="171">
        <v>27480</v>
      </c>
    </row>
  </sheetData>
  <mergeCells count="1">
    <mergeCell ref="A13:B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15</vt:i4>
      </vt:variant>
      <vt:variant>
        <vt:lpstr>Intervalli denominati</vt:lpstr>
      </vt:variant>
      <vt:variant>
        <vt:i4>6</vt:i4>
      </vt:variant>
    </vt:vector>
  </HeadingPairs>
  <TitlesOfParts>
    <vt:vector size="21" baseType="lpstr">
      <vt:lpstr>DISCLAIMER</vt:lpstr>
      <vt:lpstr>SP_riclassificato</vt:lpstr>
      <vt:lpstr>CE_riclassificato</vt:lpstr>
      <vt:lpstr>CE_ricl_TRIM</vt:lpstr>
      <vt:lpstr>BANCA CARIGE CE TRIM</vt:lpstr>
      <vt:lpstr>SP_IFRS9_BANKIT</vt:lpstr>
      <vt:lpstr>CE_IFRS_9_BANKIT</vt:lpstr>
      <vt:lpstr>CE_PROFORMA_IAS39</vt:lpstr>
      <vt:lpstr>CE_PROFORMA_IAS39_TRIM</vt:lpstr>
      <vt:lpstr>Asset Quality</vt:lpstr>
      <vt:lpstr>TRANSIZIONE IFRS9</vt:lpstr>
      <vt:lpstr>SP 2008 - 2017</vt:lpstr>
      <vt:lpstr>CE 2008 - 2017</vt:lpstr>
      <vt:lpstr>CE TRIM 2008 - 2017</vt:lpstr>
      <vt:lpstr>CE RICL 2013 - 2017</vt:lpstr>
      <vt:lpstr>'Asset Quality'!Area_stampa</vt:lpstr>
      <vt:lpstr>'CE TRIM 2008 - 2017'!Area_stampa</vt:lpstr>
      <vt:lpstr>'SP 2008 - 2017'!Area_stampa</vt:lpstr>
      <vt:lpstr>Attivo_IFRS9</vt:lpstr>
      <vt:lpstr>ceco_ricl</vt:lpstr>
      <vt:lpstr>'SP 2008 - 2017'!OLE_LINK3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Fornaciari Giordan</cp:lastModifiedBy>
  <dcterms:created xsi:type="dcterms:W3CDTF">1996-11-05T10:16:36Z</dcterms:created>
  <dcterms:modified xsi:type="dcterms:W3CDTF">2026-05-06T06:27:34Z</dcterms:modified>
</cp:coreProperties>
</file>